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ctrlProps/ctrlProp9.xml" ContentType="application/vnd.ms-excel.controlproperties+xml"/>
  <Override PartName="/xl/ctrlProps/ctrlProp10.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7.xml" ContentType="application/vnd.openxmlformats-officedocument.drawing+xml"/>
  <Override PartName="/xl/ctrlProps/ctrlProp23.xml" ContentType="application/vnd.ms-excel.controlproperties+xml"/>
  <Override PartName="/xl/drawings/drawing8.xml" ContentType="application/vnd.openxmlformats-officedocument.drawing+xml"/>
  <Override PartName="/xl/ctrlProps/ctrlProp24.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25.xml" ContentType="application/vnd.ms-excel.controlproperties+xml"/>
  <Override PartName="/xl/comments2.xml" ContentType="application/vnd.openxmlformats-officedocument.spreadsheetml.comments+xml"/>
  <Override PartName="/xl/drawings/drawing11.xml" ContentType="application/vnd.openxmlformats-officedocument.drawing+xml"/>
  <Override PartName="/xl/ctrlProps/ctrlProp26.xml" ContentType="application/vnd.ms-excel.controlproperties+xml"/>
  <Override PartName="/xl/drawings/drawing12.xml" ContentType="application/vnd.openxmlformats-officedocument.drawing+xml"/>
  <Override PartName="/xl/ctrlProps/ctrlProp27.xml" ContentType="application/vnd.ms-excel.controlproperties+xml"/>
  <Override PartName="/xl/drawings/drawing13.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queryTables/queryTable1.xml" ContentType="application/vnd.openxmlformats-officedocument.spreadsheetml.query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defaultThemeVersion="166925"/>
  <mc:AlternateContent xmlns:mc="http://schemas.openxmlformats.org/markup-compatibility/2006">
    <mc:Choice Requires="x15">
      <x15ac:absPath xmlns:x15ac="http://schemas.microsoft.com/office/spreadsheetml/2010/11/ac" url="https://blackcapitalfinance.sharepoint.com/sites/BCInvest-Marketing/Shared Documents/Internal/Product/BC_Lending/AU/Mortgage Manager/Servicing Calculator V2.2_Oct_24/YmLife/"/>
    </mc:Choice>
  </mc:AlternateContent>
  <xr:revisionPtr revIDLastSave="262" documentId="13_ncr:1_{C42BBE81-AE87-4EDC-B363-E17DF8E014EB}" xr6:coauthVersionLast="47" xr6:coauthVersionMax="47" xr10:uidLastSave="{35D6352F-4A66-49DA-9866-C647C3EE70B1}"/>
  <workbookProtection workbookAlgorithmName="SHA-512" workbookHashValue="m4lGdMOXvzwRwji6KOPfhxo5bytKJYplJuUGvZvCDxKLlGap44fkIHX0toUbyJZYKeTNBHoL09I6y6rsmrr5DA==" workbookSaltValue="GkqSz9Ps18f1+8MKXks7wg==" workbookSpinCount="100000" lockStructure="1"/>
  <bookViews>
    <workbookView xWindow="-120" yWindow="-120" windowWidth="29040" windowHeight="15840" tabRatio="898" firstSheet="2" activeTab="15" xr2:uid="{492347AD-3B08-4CA9-AC50-0EAFB2E4F581}"/>
  </bookViews>
  <sheets>
    <sheet name="logo" sheetId="28" state="hidden" r:id="rId1"/>
    <sheet name="Sheet1" sheetId="31" state="hidden" r:id="rId2"/>
    <sheet name="Serviceability Calculator" sheetId="9" r:id="rId3"/>
    <sheet name="SME Servicing Calculator" sheetId="29" r:id="rId4"/>
    <sheet name="SMSF Servicing Calculator" sheetId="1" r:id="rId5"/>
    <sheet name="Calculations breakdown" sheetId="2" state="hidden" r:id="rId6"/>
    <sheet name="Self Employed Calculator" sheetId="24" state="hidden" r:id="rId7"/>
    <sheet name="Self Employed Calculator (SME)" sheetId="36" state="hidden" r:id="rId8"/>
    <sheet name="Rental &amp; Gearing" sheetId="26" state="hidden" r:id="rId9"/>
    <sheet name="Rental &amp; Gearing (SME)" sheetId="37" state="hidden" r:id="rId10"/>
    <sheet name="SME Calculator 2" sheetId="27" state="hidden" r:id="rId11"/>
    <sheet name="Year To Date Calc" sheetId="15" r:id="rId12"/>
    <sheet name="Lease Doc Serviceability" sheetId="18" r:id="rId13"/>
    <sheet name="Sheet2" sheetId="32" state="hidden" r:id="rId14"/>
    <sheet name="Marginalisation Calculator" sheetId="17" state="hidden" r:id="rId15"/>
    <sheet name="SMSF Refinance Prime" sheetId="33" r:id="rId16"/>
    <sheet name="BackEnd" sheetId="34" state="hidden" r:id="rId17"/>
    <sheet name="Definitions" sheetId="35" state="hidden" r:id="rId18"/>
    <sheet name="Change Log" sheetId="20" state="hidden" r:id="rId19"/>
    <sheet name="Scales Tax" sheetId="30" state="hidden" r:id="rId20"/>
    <sheet name="Tax Scales" sheetId="5" state="hidden" r:id="rId21"/>
    <sheet name="HEM" sheetId="6" state="hidden" r:id="rId22"/>
    <sheet name="RepayCalculator" sheetId="7" state="hidden" r:id="rId23"/>
    <sheet name="Cost of Living Index" sheetId="11" state="hidden" r:id="rId24"/>
    <sheet name="Log Change" sheetId="19" state="hidden" r:id="rId25"/>
    <sheet name="Live Currency Rates" sheetId="13" state="hidden" r:id="rId26"/>
  </sheets>
  <definedNames>
    <definedName name="_CDA1">'Serviceability Calculator'!$N$53</definedName>
    <definedName name="_CDA1SME">'SME Servicing Calculator'!$K$54</definedName>
    <definedName name="_CDA2">'Serviceability Calculator'!$N$54</definedName>
    <definedName name="_CDA2SME">'SME Servicing Calculator'!$K$55</definedName>
    <definedName name="_CI1">'Serviceability Calculator'!$M$53</definedName>
    <definedName name="_CI1SME">'SME Servicing Calculator'!$J$54</definedName>
    <definedName name="_CI2">'Serviceability Calculator'!$M$54</definedName>
    <definedName name="_CI2SME">'SME Servicing Calculator'!$J$55</definedName>
    <definedName name="_Com1" localSheetId="6">'Self Employed Calculator'!$H$9</definedName>
    <definedName name="_Com1SME" localSheetId="7">'Self Employed Calculator (SME)'!$H$9</definedName>
    <definedName name="_Com2" localSheetId="6">'Self Employed Calculator'!$H$41</definedName>
    <definedName name="_Com2SME" localSheetId="7">'Self Employed Calculator (SME)'!$H$41</definedName>
    <definedName name="_D1">'Serviceability Calculator'!$E$34</definedName>
    <definedName name="_D1SME">'SME Servicing Calculator'!$E$33</definedName>
    <definedName name="_D2">'Serviceability Calculator'!#REF!</definedName>
    <definedName name="_D2SME">'SME Servicing Calculator'!$E$34</definedName>
    <definedName name="_D3">'Serviceability Calculator'!$E$35</definedName>
    <definedName name="_D3SME">'SME Servicing Calculator'!$E$35</definedName>
    <definedName name="_D4">'Serviceability Calculator'!$E$36</definedName>
    <definedName name="_D4SME">'SME Servicing Calculator'!$E$36</definedName>
    <definedName name="_GNTI_DST">'Serviceability Calculator'!$E$32</definedName>
    <definedName name="_GNTI_DSTSME">'SME Servicing Calculator'!$E$32</definedName>
    <definedName name="_GTI_ST">'Serviceability Calculator'!$D$32</definedName>
    <definedName name="_GTI_STSME">'SME Servicing Calculator'!$D$32</definedName>
    <definedName name="_OP7">"Option Button 7"</definedName>
    <definedName name="_SE1">'Serviceability Calculator'!$L$46</definedName>
    <definedName name="_SE1dep">'Self Employed Calculator'!$O$16</definedName>
    <definedName name="_SE1depadj">'Self Employed Calculator'!$O$17</definedName>
    <definedName name="_SE1depadjSME" localSheetId="7">'Self Employed Calculator (SME)'!$O$17</definedName>
    <definedName name="_SE1depSME" localSheetId="7">'Self Employed Calculator (SME)'!$O$16</definedName>
    <definedName name="_SE1depuse">'Self Employed Calculator'!$N$16</definedName>
    <definedName name="_SE1depuseSME" localSheetId="7">'Self Employed Calculator (SME)'!$N$16</definedName>
    <definedName name="_SE1SME">'SME Servicing Calculator'!$I$46</definedName>
    <definedName name="_SE2">'Serviceability Calculator'!$L$47</definedName>
    <definedName name="_SE2dep">'Self Employed Calculator'!$O$48</definedName>
    <definedName name="_SE2depadj">'Self Employed Calculator'!$O$49</definedName>
    <definedName name="_SE2depadjSME" localSheetId="7">'Self Employed Calculator (SME)'!$O$49</definedName>
    <definedName name="_SE2depSME" localSheetId="7">'Self Employed Calculator (SME)'!$O$48</definedName>
    <definedName name="_SE2depuse">'Self Employed Calculator'!$N$48</definedName>
    <definedName name="_SE2depuseSME" localSheetId="7">'Self Employed Calculator (SME)'!$N$48</definedName>
    <definedName name="_SE2SME">'SME Servicing Calculator'!$I$47</definedName>
    <definedName name="_SE3">'Serviceability Calculator'!$L$48</definedName>
    <definedName name="_SE3SME">'SME Servicing Calculator'!$I$48</definedName>
    <definedName name="_SE4">'Serviceability Calculator'!$L$49</definedName>
    <definedName name="_SE4SME">'SME Servicing Calculator'!$I$49</definedName>
    <definedName name="_ST1">'Serviceability Calculator'!$D$33</definedName>
    <definedName name="_ST1SME">'SME Servicing Calculator'!$D$33</definedName>
    <definedName name="_ST2">'Serviceability Calculator'!$D$34</definedName>
    <definedName name="_ST2SME">'SME Servicing Calculator'!$D$34</definedName>
    <definedName name="_ST3">'Serviceability Calculator'!$D$35</definedName>
    <definedName name="_ST3SME">'SME Servicing Calculator'!$D$35</definedName>
    <definedName name="_ST4">'Serviceability Calculator'!$D$36</definedName>
    <definedName name="_ST4SME">'SME Servicing Calculator'!$D$36</definedName>
    <definedName name="AddbacksCur" localSheetId="6">'Self Employed Calculator'!$D$15:$D$20</definedName>
    <definedName name="AddbacksCur2" localSheetId="6">'Self Employed Calculator'!$D$47:$D$52</definedName>
    <definedName name="AddbacksCur2SME" localSheetId="7">'Self Employed Calculator (SME)'!$D$47:$D$52</definedName>
    <definedName name="AddbacksCurSME" localSheetId="7">'Self Employed Calculator (SME)'!$D$15:$D$20</definedName>
    <definedName name="AddbacksPrev" localSheetId="6">'Self Employed Calculator'!$F$15:$F$20</definedName>
    <definedName name="AddbacksPrev2" localSheetId="6">'Self Employed Calculator'!$F$47:$F$52</definedName>
    <definedName name="AddbacksPrev2SME" localSheetId="7">'Self Employed Calculator (SME)'!$F$47:$F$52</definedName>
    <definedName name="AddbacksPrevSME" localSheetId="7">'Self Employed Calculator (SME)'!$F$15:$F$20</definedName>
    <definedName name="BuiltIn_Print_Area" localSheetId="2">'Serviceability Calculator'!$C$1:$N$110</definedName>
    <definedName name="BuiltIn_Print_Area___0" localSheetId="23">'Cost of Living Index'!#REF!</definedName>
    <definedName name="Bus1_App1Distr" localSheetId="6">'Self Employed Calculator'!$D$32</definedName>
    <definedName name="Bus1_App1DistrSME" localSheetId="7">'Self Employed Calculator (SME)'!$D$32</definedName>
    <definedName name="Bus1_App2Distr" localSheetId="6">'Self Employed Calculator'!$F$32</definedName>
    <definedName name="Bus1_App2DistrSME" localSheetId="7">'Self Employed Calculator (SME)'!$F$32</definedName>
    <definedName name="Bus1_App3Distr" localSheetId="6">'Self Employed Calculator'!$H$32</definedName>
    <definedName name="Bus1_App3DistrSME" localSheetId="7">'Self Employed Calculator (SME)'!$H$32</definedName>
    <definedName name="Bus1_App4Distr" localSheetId="6">'Self Employed Calculator'!$J$32</definedName>
    <definedName name="Bus1_App4DistrSME" localSheetId="7">'Self Employed Calculator (SME)'!$J$32</definedName>
    <definedName name="Bus1App1Inc">'Self Employed Calculator'!$D$34</definedName>
    <definedName name="Bus1App1IncSME" localSheetId="7">'Self Employed Calculator (SME)'!$D$34</definedName>
    <definedName name="Bus1App2Inc">'Self Employed Calculator'!$F$34</definedName>
    <definedName name="Bus1App2IncSME" localSheetId="7">'Self Employed Calculator (SME)'!$F$34</definedName>
    <definedName name="Bus1App3Inc">'Self Employed Calculator'!$H$34</definedName>
    <definedName name="Bus1App3IncSME" localSheetId="7">'Self Employed Calculator (SME)'!$H$34</definedName>
    <definedName name="Bus1App4Inc">'Self Employed Calculator'!$J$34</definedName>
    <definedName name="Bus1App4IncSME" localSheetId="7">'Self Employed Calculator (SME)'!$J$34</definedName>
    <definedName name="Bus2_App1Distr" localSheetId="6">'Self Employed Calculator'!$D$64</definedName>
    <definedName name="Bus2_App1DistrSME" localSheetId="7">'Self Employed Calculator (SME)'!$D$64</definedName>
    <definedName name="Bus2_App2Distr" localSheetId="6">'Self Employed Calculator'!$F$64</definedName>
    <definedName name="Bus2_App2DistrSME" localSheetId="7">'Self Employed Calculator (SME)'!$F$64</definedName>
    <definedName name="Bus2_App3Distr" localSheetId="6">'Self Employed Calculator'!$H$64</definedName>
    <definedName name="Bus2_App3DistrSME" localSheetId="7">'Self Employed Calculator (SME)'!$H$64</definedName>
    <definedName name="Bus2_App4Distr" localSheetId="6">'Self Employed Calculator'!$J$64</definedName>
    <definedName name="Bus2_App4DistrSME" localSheetId="7">'Self Employed Calculator (SME)'!$J$64</definedName>
    <definedName name="Bus2App1Inc">'Self Employed Calculator'!$D$66</definedName>
    <definedName name="Bus2App1IncSME" localSheetId="7">'Self Employed Calculator (SME)'!$D$66</definedName>
    <definedName name="Bus2App2Inc">'Self Employed Calculator'!$F$66</definedName>
    <definedName name="Bus2App2IncSME" localSheetId="7">'Self Employed Calculator (SME)'!$F$66</definedName>
    <definedName name="Bus2App3Inc">'Self Employed Calculator'!$H$66</definedName>
    <definedName name="Bus2App3IncSME" localSheetId="7">'Self Employed Calculator (SME)'!$H$66</definedName>
    <definedName name="Bus2App4Inc">'Self Employed Calculator'!$J$66</definedName>
    <definedName name="Bus2App4IncSME" localSheetId="7">'Self Employed Calculator (SME)'!$J$66</definedName>
    <definedName name="ExternalData_1" localSheetId="25" hidden="1">'Live Currency Rates'!$A$1:$D$168</definedName>
    <definedName name="FirstHomeBuyer" localSheetId="22">RepayCalculator!$A$6:$A$7</definedName>
    <definedName name="GTI" localSheetId="23">#REF!</definedName>
    <definedName name="LoanType" localSheetId="22">RepayCalculator!$C$11:$C$20</definedName>
    <definedName name="ndiAppDet" localSheetId="2">'Serviceability Calculator'!#REF!,'Serviceability Calculator'!#REF!</definedName>
    <definedName name="ndiExisCom" localSheetId="2">'Serviceability Calculator'!$D$80:$D$91,'Serviceability Calculator'!$E$81:$E$91</definedName>
    <definedName name="ndiExisTyp" localSheetId="2">'Serviceability Calculator'!$C$81:$C$91</definedName>
    <definedName name="ndiHouStat" localSheetId="2">'Serviceability Calculator'!$E$20:$G$23</definedName>
    <definedName name="ndiIncome" localSheetId="2">'Serviceability Calculator'!$D$33:$G$36,'Serviceability Calculator'!$D$40:$D$43,'Serviceability Calculator'!$M$53:$N$54</definedName>
    <definedName name="ndiLivExp" localSheetId="2">'Serviceability Calculator'!$D$55:$F$63,'Serviceability Calculator'!$D$67:$F$70,'Serviceability Calculator'!$G$55:$G$63,'Serviceability Calculator'!$G$68:$G$70</definedName>
    <definedName name="ndiNewLoan" localSheetId="2">'Serviceability Calculator'!$D$8:$F$10</definedName>
    <definedName name="NonRecIncCur" localSheetId="6">'Self Employed Calculator'!$D$11</definedName>
    <definedName name="NonRecIncCur2" localSheetId="6">'Self Employed Calculator'!$D$43</definedName>
    <definedName name="NonRecIncCur2SME" localSheetId="7">'Self Employed Calculator (SME)'!$D$43</definedName>
    <definedName name="NonRecIncCurSME" localSheetId="7">'Self Employed Calculator (SME)'!$D$11</definedName>
    <definedName name="NonRecIncPrev" localSheetId="6">'Self Employed Calculator'!$F$11</definedName>
    <definedName name="NonRecIncPrev2" localSheetId="6">'Self Employed Calculator'!$F$43</definedName>
    <definedName name="NonRecIncPrev2SME" localSheetId="7">'Self Employed Calculator (SME)'!$F$43</definedName>
    <definedName name="NonRecIncPrevSME" localSheetId="7">'Self Employed Calculator (SME)'!$F$11</definedName>
    <definedName name="_xlnm.Print_Area" localSheetId="8">'Rental &amp; Gearing'!$F$3:$U$34</definedName>
    <definedName name="_xlnm.Print_Area" localSheetId="9">'Rental &amp; Gearing (SME)'!$F$3:$U$34</definedName>
    <definedName name="_xlnm.Print_Area" localSheetId="6">'Self Employed Calculator'!$B$2:$L$68</definedName>
    <definedName name="_xlnm.Print_Area" localSheetId="7">'Self Employed Calculator (SME)'!$B$2:$L$68</definedName>
    <definedName name="_xlnm.Print_Area" localSheetId="15">'SMSF Refinance Prime'!$A$2:$M$43</definedName>
    <definedName name="_xlnm.Print_Area" localSheetId="11">'Year To Date Calc'!$A$1:$I$62</definedName>
    <definedName name="_xlnm.Print_Titles" localSheetId="15">'SMSF Refinance Prime'!$3:$3</definedName>
    <definedName name="ProfitCur" localSheetId="6">'Self Employed Calculator'!$D$10</definedName>
    <definedName name="ProfitCur2" localSheetId="6">'Self Employed Calculator'!$D$42</definedName>
    <definedName name="ProfitCur2SME" localSheetId="7">'Self Employed Calculator (SME)'!$D$42</definedName>
    <definedName name="ProfitCurSME" localSheetId="7">'Self Employed Calculator (SME)'!$D$10</definedName>
    <definedName name="ProfitPrev" localSheetId="6">'Self Employed Calculator'!$F$10</definedName>
    <definedName name="ProfitPrev2" localSheetId="6">'Self Employed Calculator'!$F$42</definedName>
    <definedName name="ProfitPrev2SME" localSheetId="7">'Self Employed Calculator (SME)'!$F$42</definedName>
    <definedName name="ProfitPrevSME" localSheetId="7">'Self Employed Calculator (SME)'!$F$10</definedName>
    <definedName name="ProspectorNumYTD">'Year To Date Calc'!$C$3</definedName>
    <definedName name="RepayType" localSheetId="22">RepayCalculator!$A$2:$A$3</definedName>
    <definedName name="SE1netAv" localSheetId="6">'Self Employed Calculator'!$F$26</definedName>
    <definedName name="SE1netAvAdj" localSheetId="6">'Self Employed Calculator'!$F$28</definedName>
    <definedName name="SE1netAvAdjSME" localSheetId="7">'Self Employed Calculator (SME)'!$F$28</definedName>
    <definedName name="SE1netAvSME" localSheetId="7">'Self Employed Calculator (SME)'!$F$26</definedName>
    <definedName name="SE1Test" localSheetId="6">'Self Employed Calculator'!$M$24</definedName>
    <definedName name="SE1TestSME" localSheetId="7">'Self Employed Calculator (SME)'!$M$24</definedName>
    <definedName name="SE2netAv" localSheetId="6">'Self Employed Calculator'!$F$58</definedName>
    <definedName name="SE2netAvAdj" localSheetId="6">'Self Employed Calculator'!$F$60</definedName>
    <definedName name="SE2netAvAdjSME" localSheetId="7">'Self Employed Calculator (SME)'!$F$60</definedName>
    <definedName name="SE2netAvSME" localSheetId="7">'Self Employed Calculator (SME)'!$F$58</definedName>
    <definedName name="SE2Test" localSheetId="6">'Self Employed Calculator'!$M$56</definedName>
    <definedName name="SE2TestSME" localSheetId="7">'Self Employed Calculator (SME)'!$M$56</definedName>
    <definedName name="SecType">BackEnd!$A$2:$A$3</definedName>
    <definedName name="Stress" localSheetId="22">RepayCalculator!$D$11:$D$16</definedName>
    <definedName name="TaxYearCur" localSheetId="6">'Self Employed Calculator'!$D$8</definedName>
    <definedName name="TaxYearCur2" localSheetId="6">'Self Employed Calculator'!$D$40</definedName>
    <definedName name="TaxYearCur2SME" localSheetId="7">'Self Employed Calculator (SME)'!$D$40</definedName>
    <definedName name="TaxYearCurSME" localSheetId="7">'Self Employed Calculator (SME)'!$D$8</definedName>
    <definedName name="TaxYearCurSME">'Self Employed Calculator (SME)'!$D$8</definedName>
    <definedName name="TaxYearPrev" localSheetId="6">'Self Employed Calculator'!$F$8</definedName>
    <definedName name="TaxYearPrev2" localSheetId="6">'Self Employed Calculator'!$F$40</definedName>
    <definedName name="TaxYearPrev2SME" localSheetId="7">'Self Employed Calculator (SME)'!$F$40</definedName>
    <definedName name="TaxYearPrevSME" localSheetId="7">'Self Employed Calculator (SME)'!$F$8</definedName>
    <definedName name="TestText">BackEnd!$A$1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4" i="1" l="1"/>
  <c r="G94" i="29"/>
  <c r="G94" i="9"/>
  <c r="K29" i="37"/>
  <c r="K28" i="37"/>
  <c r="K27" i="37"/>
  <c r="K26" i="37"/>
  <c r="K25" i="37"/>
  <c r="K24" i="37"/>
  <c r="K23" i="37"/>
  <c r="K22" i="37"/>
  <c r="K21" i="37"/>
  <c r="K20" i="37"/>
  <c r="K19" i="37"/>
  <c r="K18" i="37"/>
  <c r="K17" i="37"/>
  <c r="K16" i="37"/>
  <c r="K15" i="37"/>
  <c r="K14" i="37"/>
  <c r="K13" i="37"/>
  <c r="K12" i="37"/>
  <c r="K11" i="37"/>
  <c r="K10" i="37"/>
  <c r="K9" i="37"/>
  <c r="K8" i="37"/>
  <c r="K7" i="37"/>
  <c r="K6" i="37"/>
  <c r="K5" i="37"/>
  <c r="K29" i="26"/>
  <c r="K28" i="26"/>
  <c r="K27" i="26"/>
  <c r="K26" i="26"/>
  <c r="K25" i="26"/>
  <c r="K24" i="26"/>
  <c r="K23" i="26"/>
  <c r="K22" i="26"/>
  <c r="K21" i="26"/>
  <c r="K20" i="26"/>
  <c r="K19" i="26"/>
  <c r="K18" i="26"/>
  <c r="K17" i="26"/>
  <c r="K16" i="26"/>
  <c r="K15" i="26"/>
  <c r="K14" i="26"/>
  <c r="K13" i="26"/>
  <c r="K12" i="26"/>
  <c r="K11" i="26"/>
  <c r="K10" i="26"/>
  <c r="K9" i="26"/>
  <c r="K8" i="26"/>
  <c r="K7" i="26"/>
  <c r="K6" i="26"/>
  <c r="K5" i="26"/>
  <c r="L5" i="26" l="1"/>
  <c r="L5" i="37"/>
  <c r="AB5" i="37" s="1"/>
  <c r="T29" i="37"/>
  <c r="X29" i="37" s="1"/>
  <c r="L29" i="37"/>
  <c r="AB29" i="37" s="1"/>
  <c r="T28" i="37"/>
  <c r="X28" i="37" s="1"/>
  <c r="L28" i="37"/>
  <c r="AB28" i="37" s="1"/>
  <c r="T27" i="37"/>
  <c r="X27" i="37" s="1"/>
  <c r="L27" i="37"/>
  <c r="AB27" i="37" s="1"/>
  <c r="T26" i="37"/>
  <c r="X26" i="37" s="1"/>
  <c r="L26" i="37"/>
  <c r="Z26" i="37" s="1"/>
  <c r="T25" i="37"/>
  <c r="X25" i="37" s="1"/>
  <c r="L25" i="37"/>
  <c r="AB25" i="37" s="1"/>
  <c r="T24" i="37"/>
  <c r="X24" i="37" s="1"/>
  <c r="L24" i="37"/>
  <c r="AB24" i="37" s="1"/>
  <c r="T23" i="37"/>
  <c r="X23" i="37" s="1"/>
  <c r="L23" i="37"/>
  <c r="AB23" i="37" s="1"/>
  <c r="T22" i="37"/>
  <c r="V22" i="37" s="1"/>
  <c r="L22" i="37"/>
  <c r="Z22" i="37" s="1"/>
  <c r="T21" i="37"/>
  <c r="X21" i="37" s="1"/>
  <c r="L21" i="37"/>
  <c r="AB21" i="37" s="1"/>
  <c r="T20" i="37"/>
  <c r="X20" i="37" s="1"/>
  <c r="L20" i="37"/>
  <c r="AB20" i="37" s="1"/>
  <c r="T19" i="37"/>
  <c r="V19" i="37" s="1"/>
  <c r="L19" i="37"/>
  <c r="AB19" i="37" s="1"/>
  <c r="T18" i="37"/>
  <c r="V18" i="37" s="1"/>
  <c r="L18" i="37"/>
  <c r="Z18" i="37" s="1"/>
  <c r="T17" i="37"/>
  <c r="X17" i="37" s="1"/>
  <c r="L17" i="37"/>
  <c r="AB17" i="37" s="1"/>
  <c r="T16" i="37"/>
  <c r="V16" i="37" s="1"/>
  <c r="L16" i="37"/>
  <c r="AB16" i="37" s="1"/>
  <c r="T15" i="37"/>
  <c r="X15" i="37" s="1"/>
  <c r="L15" i="37"/>
  <c r="AB15" i="37" s="1"/>
  <c r="T14" i="37"/>
  <c r="X14" i="37" s="1"/>
  <c r="L14" i="37"/>
  <c r="Z14" i="37" s="1"/>
  <c r="T13" i="37"/>
  <c r="X13" i="37" s="1"/>
  <c r="L13" i="37"/>
  <c r="AB13" i="37" s="1"/>
  <c r="T12" i="37"/>
  <c r="V12" i="37" s="1"/>
  <c r="L12" i="37"/>
  <c r="AB12" i="37" s="1"/>
  <c r="T11" i="37"/>
  <c r="X11" i="37" s="1"/>
  <c r="L11" i="37"/>
  <c r="AB11" i="37" s="1"/>
  <c r="T10" i="37"/>
  <c r="X10" i="37" s="1"/>
  <c r="L10" i="37"/>
  <c r="Z10" i="37" s="1"/>
  <c r="T9" i="37"/>
  <c r="X9" i="37" s="1"/>
  <c r="L9" i="37"/>
  <c r="AB9" i="37" s="1"/>
  <c r="T8" i="37"/>
  <c r="V8" i="37" s="1"/>
  <c r="L8" i="37"/>
  <c r="AB8" i="37" s="1"/>
  <c r="T7" i="37"/>
  <c r="X7" i="37" s="1"/>
  <c r="L7" i="37"/>
  <c r="AB7" i="37" s="1"/>
  <c r="T6" i="37"/>
  <c r="X6" i="37" s="1"/>
  <c r="L6" i="37"/>
  <c r="Z6" i="37" s="1"/>
  <c r="T5" i="37"/>
  <c r="X5" i="37" s="1"/>
  <c r="P64" i="36"/>
  <c r="O64" i="36"/>
  <c r="N64" i="36"/>
  <c r="M64" i="36"/>
  <c r="L64" i="36"/>
  <c r="K64" i="36"/>
  <c r="F54" i="36"/>
  <c r="D54" i="36"/>
  <c r="O48" i="36"/>
  <c r="O49" i="36" s="1"/>
  <c r="N48" i="36" s="1"/>
  <c r="J68" i="36" s="1"/>
  <c r="F45" i="36"/>
  <c r="D45" i="36"/>
  <c r="H42" i="36"/>
  <c r="P32" i="36"/>
  <c r="O32" i="36"/>
  <c r="N32" i="36"/>
  <c r="M32" i="36"/>
  <c r="K32" i="36"/>
  <c r="L32" i="36" s="1"/>
  <c r="F22" i="36"/>
  <c r="D22" i="36"/>
  <c r="O16" i="36"/>
  <c r="O17" i="36" s="1"/>
  <c r="F13" i="36"/>
  <c r="D13" i="36"/>
  <c r="H10" i="36"/>
  <c r="D56" i="36" l="1"/>
  <c r="F24" i="36"/>
  <c r="F56" i="36"/>
  <c r="D24" i="36"/>
  <c r="N16" i="36"/>
  <c r="H36" i="36" s="1"/>
  <c r="X19" i="37"/>
  <c r="U16" i="37"/>
  <c r="U13" i="37"/>
  <c r="W10" i="37"/>
  <c r="V24" i="37"/>
  <c r="U15" i="37"/>
  <c r="U19" i="37"/>
  <c r="W19" i="37"/>
  <c r="Y29" i="37"/>
  <c r="U7" i="37"/>
  <c r="V28" i="37"/>
  <c r="U11" i="37"/>
  <c r="U17" i="37"/>
  <c r="U20" i="37"/>
  <c r="V23" i="37"/>
  <c r="W20" i="37"/>
  <c r="W15" i="37"/>
  <c r="U23" i="37"/>
  <c r="U28" i="37"/>
  <c r="W11" i="37"/>
  <c r="U18" i="37"/>
  <c r="W23" i="37"/>
  <c r="U27" i="37"/>
  <c r="W18" i="37"/>
  <c r="V27" i="37"/>
  <c r="W6" i="37"/>
  <c r="W14" i="37"/>
  <c r="W16" i="37"/>
  <c r="X18" i="37"/>
  <c r="W22" i="37"/>
  <c r="U26" i="37"/>
  <c r="W27" i="37"/>
  <c r="U12" i="37"/>
  <c r="X22" i="37"/>
  <c r="V26" i="37"/>
  <c r="W12" i="37"/>
  <c r="V20" i="37"/>
  <c r="U24" i="37"/>
  <c r="W26" i="37"/>
  <c r="Y17" i="37"/>
  <c r="Y27" i="37"/>
  <c r="Y13" i="37"/>
  <c r="Y9" i="37"/>
  <c r="Y23" i="37"/>
  <c r="Y19" i="37"/>
  <c r="Y21" i="37"/>
  <c r="Y25" i="37"/>
  <c r="Y15" i="37"/>
  <c r="Y5" i="37"/>
  <c r="U5" i="37"/>
  <c r="AA6" i="37"/>
  <c r="Y7" i="37"/>
  <c r="W8" i="37"/>
  <c r="U9" i="37"/>
  <c r="AA10" i="37"/>
  <c r="Y11" i="37"/>
  <c r="AA14" i="37"/>
  <c r="AA18" i="37"/>
  <c r="U21" i="37"/>
  <c r="AA22" i="37"/>
  <c r="W24" i="37"/>
  <c r="U25" i="37"/>
  <c r="AA26" i="37"/>
  <c r="W28" i="37"/>
  <c r="U29" i="37"/>
  <c r="V5" i="37"/>
  <c r="AB6" i="37"/>
  <c r="Z7" i="37"/>
  <c r="X8" i="37"/>
  <c r="V9" i="37"/>
  <c r="AB10" i="37"/>
  <c r="Z11" i="37"/>
  <c r="X12" i="37"/>
  <c r="V13" i="37"/>
  <c r="AB14" i="37"/>
  <c r="Z15" i="37"/>
  <c r="X16" i="37"/>
  <c r="V17" i="37"/>
  <c r="AB18" i="37"/>
  <c r="Z19" i="37"/>
  <c r="V21" i="37"/>
  <c r="AB22" i="37"/>
  <c r="Z23" i="37"/>
  <c r="V25" i="37"/>
  <c r="AB26" i="37"/>
  <c r="Z27" i="37"/>
  <c r="V29" i="37"/>
  <c r="W5" i="37"/>
  <c r="U6" i="37"/>
  <c r="AA7" i="37"/>
  <c r="Y8" i="37"/>
  <c r="W9" i="37"/>
  <c r="U10" i="37"/>
  <c r="AA11" i="37"/>
  <c r="Y12" i="37"/>
  <c r="W13" i="37"/>
  <c r="U14" i="37"/>
  <c r="AA15" i="37"/>
  <c r="Y16" i="37"/>
  <c r="W17" i="37"/>
  <c r="AA19" i="37"/>
  <c r="Y20" i="37"/>
  <c r="W21" i="37"/>
  <c r="U22" i="37"/>
  <c r="AA23" i="37"/>
  <c r="Y24" i="37"/>
  <c r="W25" i="37"/>
  <c r="AA27" i="37"/>
  <c r="Y28" i="37"/>
  <c r="W29" i="37"/>
  <c r="V6" i="37"/>
  <c r="Z8" i="37"/>
  <c r="V10" i="37"/>
  <c r="Z12" i="37"/>
  <c r="V14" i="37"/>
  <c r="Z16" i="37"/>
  <c r="Z20" i="37"/>
  <c r="Z24" i="37"/>
  <c r="Z28" i="37"/>
  <c r="AA8" i="37"/>
  <c r="AA12" i="37"/>
  <c r="AA16" i="37"/>
  <c r="AA20" i="37"/>
  <c r="AA24" i="37"/>
  <c r="AA28" i="37"/>
  <c r="Z5" i="37"/>
  <c r="V7" i="37"/>
  <c r="Z9" i="37"/>
  <c r="V11" i="37"/>
  <c r="Z13" i="37"/>
  <c r="V15" i="37"/>
  <c r="Z17" i="37"/>
  <c r="Z21" i="37"/>
  <c r="Z25" i="37"/>
  <c r="Z29" i="37"/>
  <c r="AA5" i="37"/>
  <c r="Y6" i="37"/>
  <c r="W7" i="37"/>
  <c r="U8" i="37"/>
  <c r="AA9" i="37"/>
  <c r="Y10" i="37"/>
  <c r="AA13" i="37"/>
  <c r="Y14" i="37"/>
  <c r="AA17" i="37"/>
  <c r="Y18" i="37"/>
  <c r="AA21" i="37"/>
  <c r="Y22" i="37"/>
  <c r="AA25" i="37"/>
  <c r="Y26" i="37"/>
  <c r="AA29" i="37"/>
  <c r="D68" i="36"/>
  <c r="F68" i="36"/>
  <c r="H68" i="36"/>
  <c r="K55" i="29" l="1"/>
  <c r="H8" i="36"/>
  <c r="F58" i="36"/>
  <c r="F60" i="36" s="1"/>
  <c r="H40" i="36"/>
  <c r="F26" i="36"/>
  <c r="F28" i="36" s="1"/>
  <c r="F34" i="36" s="1"/>
  <c r="J36" i="36"/>
  <c r="F36" i="36"/>
  <c r="D36" i="36"/>
  <c r="J34" i="37"/>
  <c r="D43" i="29" s="1"/>
  <c r="I34" i="37"/>
  <c r="F36" i="29" s="1"/>
  <c r="I31" i="37"/>
  <c r="F33" i="29" s="1"/>
  <c r="J32" i="37"/>
  <c r="D41" i="29" s="1"/>
  <c r="J31" i="37"/>
  <c r="D40" i="29" s="1"/>
  <c r="I33" i="37"/>
  <c r="F35" i="29" s="1"/>
  <c r="J33" i="37"/>
  <c r="D42" i="29" s="1"/>
  <c r="I32" i="37"/>
  <c r="F34" i="29" s="1"/>
  <c r="C9" i="30"/>
  <c r="C8" i="30"/>
  <c r="C7" i="30"/>
  <c r="C6" i="30"/>
  <c r="C5" i="30"/>
  <c r="K54" i="29" l="1"/>
  <c r="H26" i="36"/>
  <c r="D34" i="36"/>
  <c r="J46" i="29" s="1"/>
  <c r="H34" i="36"/>
  <c r="J48" i="29" s="1"/>
  <c r="J34" i="36"/>
  <c r="Q19" i="36" s="1"/>
  <c r="J66" i="36"/>
  <c r="D66" i="36"/>
  <c r="F66" i="36"/>
  <c r="H66" i="36"/>
  <c r="H58" i="36"/>
  <c r="Q17" i="36"/>
  <c r="J47" i="29"/>
  <c r="C11" i="2"/>
  <c r="Q18" i="36" l="1"/>
  <c r="Q16" i="36"/>
  <c r="J49" i="29"/>
  <c r="J54" i="29" s="1"/>
  <c r="K48" i="29"/>
  <c r="Q50" i="36"/>
  <c r="K47" i="29"/>
  <c r="Q49" i="36"/>
  <c r="K46" i="29"/>
  <c r="Q48" i="36"/>
  <c r="K49" i="29"/>
  <c r="Q51" i="36"/>
  <c r="C20" i="2"/>
  <c r="J55" i="29" l="1"/>
  <c r="I2" i="34"/>
  <c r="Q6" i="34"/>
  <c r="A9" i="34"/>
  <c r="A10" i="34"/>
  <c r="A11" i="34"/>
  <c r="A12" i="34" s="1"/>
  <c r="A13" i="34" s="1"/>
  <c r="A14" i="34" s="1"/>
  <c r="A15" i="34" s="1"/>
  <c r="A16" i="34" s="1"/>
  <c r="A17" i="34" s="1"/>
  <c r="A18" i="34" s="1"/>
  <c r="A19" i="34" s="1"/>
  <c r="A20" i="34" s="1"/>
  <c r="A21" i="34" s="1"/>
  <c r="A22" i="34" s="1"/>
  <c r="A23" i="34" s="1"/>
  <c r="A24" i="34" s="1"/>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A59" i="34" s="1"/>
  <c r="A60" i="34" s="1"/>
  <c r="A61" i="34" s="1"/>
  <c r="A62" i="34" s="1"/>
  <c r="A63" i="34" s="1"/>
  <c r="A64" i="34" s="1"/>
  <c r="A65" i="34" s="1"/>
  <c r="A66" i="34" s="1"/>
  <c r="A67" i="34" s="1"/>
  <c r="A68" i="34" s="1"/>
  <c r="A69" i="34" s="1"/>
  <c r="A70" i="34" s="1"/>
  <c r="A71" i="34" s="1"/>
  <c r="A72" i="34" s="1"/>
  <c r="A73" i="34" s="1"/>
  <c r="A74" i="34" s="1"/>
  <c r="A75" i="34" s="1"/>
  <c r="A76" i="34" s="1"/>
  <c r="A77" i="34" s="1"/>
  <c r="A78" i="34" s="1"/>
  <c r="A79" i="34" s="1"/>
  <c r="A80" i="34" s="1"/>
  <c r="A81" i="34" s="1"/>
  <c r="A82" i="34" s="1"/>
  <c r="A83" i="34" s="1"/>
  <c r="A84" i="34" s="1"/>
  <c r="A85" i="34" s="1"/>
  <c r="A86" i="34" s="1"/>
  <c r="A87" i="34" s="1"/>
  <c r="A88" i="34" s="1"/>
  <c r="A89" i="34" s="1"/>
  <c r="A90" i="34" s="1"/>
  <c r="A91" i="34" s="1"/>
  <c r="A92" i="34" s="1"/>
  <c r="A93" i="34" s="1"/>
  <c r="A94" i="34" s="1"/>
  <c r="A95" i="34" s="1"/>
  <c r="A96" i="34" s="1"/>
  <c r="A97" i="34" s="1"/>
  <c r="A98" i="34" s="1"/>
  <c r="A99" i="34" s="1"/>
  <c r="A100" i="34" s="1"/>
  <c r="A101" i="34" s="1"/>
  <c r="A102" i="34" s="1"/>
  <c r="A103" i="34" s="1"/>
  <c r="A104" i="34" s="1"/>
  <c r="A105" i="34" s="1"/>
  <c r="A106" i="34" s="1"/>
  <c r="A107" i="34" s="1"/>
  <c r="H6" i="33"/>
  <c r="A9" i="33"/>
  <c r="I9" i="33"/>
  <c r="A13" i="33"/>
  <c r="I13" i="33"/>
  <c r="J13" i="33"/>
  <c r="A14" i="33"/>
  <c r="I14" i="33"/>
  <c r="A15" i="33"/>
  <c r="I15" i="33"/>
  <c r="H16" i="33"/>
  <c r="H17" i="33"/>
  <c r="H27" i="33" s="1"/>
  <c r="A18" i="33"/>
  <c r="I18" i="33"/>
  <c r="A20" i="33"/>
  <c r="I20" i="33"/>
  <c r="A23" i="33"/>
  <c r="G23" i="33"/>
  <c r="H24" i="33"/>
  <c r="A30" i="33"/>
  <c r="I30" i="33"/>
  <c r="H31" i="33"/>
  <c r="G17" i="1"/>
  <c r="A8" i="33" l="1"/>
  <c r="H35" i="33"/>
  <c r="H28" i="33"/>
  <c r="I6" i="9"/>
  <c r="C3" i="9"/>
  <c r="G9" i="1"/>
  <c r="F4" i="1"/>
  <c r="E15" i="9"/>
  <c r="E16" i="9" s="1"/>
  <c r="F15" i="9"/>
  <c r="F16" i="9" s="1"/>
  <c r="G15" i="9"/>
  <c r="G16" i="9" s="1"/>
  <c r="H15" i="9"/>
  <c r="H16" i="9" s="1"/>
  <c r="I15" i="9"/>
  <c r="I16" i="9" s="1"/>
  <c r="D6" i="9"/>
  <c r="E6" i="9"/>
  <c r="F6" i="9"/>
  <c r="G6" i="9"/>
  <c r="G12" i="9" s="1"/>
  <c r="H6" i="9"/>
  <c r="H12" i="9" s="1"/>
  <c r="I11" i="9"/>
  <c r="I13" i="9"/>
  <c r="H13" i="9"/>
  <c r="G13" i="9"/>
  <c r="G11" i="9"/>
  <c r="F11" i="9"/>
  <c r="H11" i="9"/>
  <c r="I14" i="9" l="1"/>
  <c r="G14" i="9"/>
  <c r="H14" i="9"/>
  <c r="I12" i="9"/>
  <c r="H52" i="15"/>
  <c r="H40" i="15"/>
  <c r="C21" i="1"/>
  <c r="M70" i="1"/>
  <c r="M71" i="1"/>
  <c r="M72" i="1"/>
  <c r="M79" i="1"/>
  <c r="M80" i="1"/>
  <c r="M81" i="1"/>
  <c r="N76" i="1"/>
  <c r="N77" i="1"/>
  <c r="N78" i="1"/>
  <c r="N79" i="1"/>
  <c r="O79" i="1" s="1"/>
  <c r="N70" i="1" s="1"/>
  <c r="U44" i="5" s="1"/>
  <c r="N80" i="1"/>
  <c r="O80" i="1" s="1"/>
  <c r="N81" i="1"/>
  <c r="O81" i="1" s="1"/>
  <c r="O72" i="1"/>
  <c r="O71" i="1"/>
  <c r="O70" i="1"/>
  <c r="O69" i="1"/>
  <c r="O68" i="1"/>
  <c r="O67" i="1"/>
  <c r="M60" i="1"/>
  <c r="M61" i="1"/>
  <c r="M62" i="1"/>
  <c r="D60" i="1"/>
  <c r="D61" i="1"/>
  <c r="D62" i="1"/>
  <c r="D27" i="6"/>
  <c r="C27" i="6"/>
  <c r="C26" i="6"/>
  <c r="C25" i="6"/>
  <c r="E16" i="6"/>
  <c r="D16" i="6"/>
  <c r="C16" i="6"/>
  <c r="D15" i="6"/>
  <c r="C15" i="6" s="1"/>
  <c r="D14" i="6"/>
  <c r="C14" i="6"/>
  <c r="C13" i="6"/>
  <c r="D13" i="9"/>
  <c r="D14" i="9" s="1"/>
  <c r="N102" i="1"/>
  <c r="O102" i="1" s="1"/>
  <c r="N72" i="1" l="1"/>
  <c r="U93" i="5" s="1"/>
  <c r="V93" i="5" s="1"/>
  <c r="U94" i="5" s="1"/>
  <c r="N71" i="1"/>
  <c r="U80" i="5" s="1"/>
  <c r="V80" i="5" s="1"/>
  <c r="U81" i="5" s="1"/>
  <c r="E61" i="1"/>
  <c r="F61" i="1" s="1"/>
  <c r="E62" i="1"/>
  <c r="F62" i="1" s="1"/>
  <c r="E60" i="1"/>
  <c r="D15" i="9"/>
  <c r="F13" i="9"/>
  <c r="E13" i="9"/>
  <c r="W80" i="5" l="1"/>
  <c r="W93" i="5"/>
  <c r="Y93" i="5" s="1"/>
  <c r="Y80" i="5"/>
  <c r="F15" i="29"/>
  <c r="E15" i="29"/>
  <c r="D15" i="29"/>
  <c r="F13" i="29"/>
  <c r="E13" i="29"/>
  <c r="D13" i="29"/>
  <c r="C77" i="6"/>
  <c r="G17" i="6" l="1"/>
  <c r="H17" i="6"/>
  <c r="I17" i="6"/>
  <c r="J17" i="6"/>
  <c r="K17" i="6"/>
  <c r="L17" i="6"/>
  <c r="M17" i="6"/>
  <c r="N17" i="6"/>
  <c r="O17" i="6"/>
  <c r="P17" i="6"/>
  <c r="F17" i="6"/>
  <c r="G51" i="29"/>
  <c r="P48" i="29"/>
  <c r="AY68" i="30"/>
  <c r="U68" i="30"/>
  <c r="F68" i="30"/>
  <c r="H68" i="30" s="1"/>
  <c r="H73" i="30" s="1"/>
  <c r="AY57" i="30"/>
  <c r="U57" i="30"/>
  <c r="F57" i="30"/>
  <c r="F62" i="30" s="1"/>
  <c r="A63" i="30" s="1"/>
  <c r="S127" i="30"/>
  <c r="R127" i="30"/>
  <c r="U126" i="30"/>
  <c r="S126" i="30"/>
  <c r="R126" i="30"/>
  <c r="S119" i="30"/>
  <c r="R119" i="30"/>
  <c r="U118" i="30"/>
  <c r="S118" i="30"/>
  <c r="R118" i="30"/>
  <c r="S111" i="30"/>
  <c r="R111" i="30"/>
  <c r="U110" i="30"/>
  <c r="V110" i="30" s="1"/>
  <c r="U111" i="30" s="1"/>
  <c r="S110" i="30"/>
  <c r="R110" i="30"/>
  <c r="R103" i="30"/>
  <c r="U102" i="30"/>
  <c r="W102" i="30" s="1"/>
  <c r="R102" i="30"/>
  <c r="AJ87" i="30"/>
  <c r="AH87" i="30"/>
  <c r="U87" i="30"/>
  <c r="U88" i="30" s="1"/>
  <c r="D87" i="30"/>
  <c r="S87" i="30" s="1"/>
  <c r="AJ80" i="30"/>
  <c r="AJ81" i="30" s="1"/>
  <c r="U80" i="30"/>
  <c r="U81" i="30" s="1"/>
  <c r="S80" i="30"/>
  <c r="AV72" i="30"/>
  <c r="AG72" i="30"/>
  <c r="R72" i="30"/>
  <c r="C72" i="30"/>
  <c r="AV71" i="30"/>
  <c r="AG71" i="30"/>
  <c r="R71" i="30"/>
  <c r="C71" i="30"/>
  <c r="AV70" i="30"/>
  <c r="AG70" i="30"/>
  <c r="R70" i="30"/>
  <c r="C70" i="30"/>
  <c r="AV69" i="30"/>
  <c r="AG69" i="30"/>
  <c r="R69" i="30"/>
  <c r="C69" i="30"/>
  <c r="AV68" i="30"/>
  <c r="AL68" i="30"/>
  <c r="AL73" i="30" s="1"/>
  <c r="AK68" i="30"/>
  <c r="AJ68" i="30"/>
  <c r="AJ73" i="30" s="1"/>
  <c r="AE74" i="30" s="1"/>
  <c r="AG68" i="30"/>
  <c r="R68" i="30"/>
  <c r="C68" i="30"/>
  <c r="AV61" i="30"/>
  <c r="AG61" i="30"/>
  <c r="R61" i="30"/>
  <c r="C61" i="30"/>
  <c r="AV60" i="30"/>
  <c r="AG60" i="30"/>
  <c r="R60" i="30"/>
  <c r="C60" i="30"/>
  <c r="AV59" i="30"/>
  <c r="AG59" i="30"/>
  <c r="R59" i="30"/>
  <c r="C59" i="30"/>
  <c r="AV58" i="30"/>
  <c r="AG58" i="30"/>
  <c r="R58" i="30"/>
  <c r="C58" i="30"/>
  <c r="AV57" i="30"/>
  <c r="AL57" i="30"/>
  <c r="AL62" i="30" s="1"/>
  <c r="AK57" i="30"/>
  <c r="AJ57" i="30"/>
  <c r="AJ62" i="30" s="1"/>
  <c r="AE63" i="30" s="1"/>
  <c r="AG57" i="30"/>
  <c r="R57" i="30"/>
  <c r="C57" i="30"/>
  <c r="AG53" i="30"/>
  <c r="AY49" i="30"/>
  <c r="AZ44" i="30"/>
  <c r="AZ45" i="30" s="1"/>
  <c r="AZ46" i="30" s="1"/>
  <c r="AZ47" i="30" s="1"/>
  <c r="AZ48" i="30" s="1"/>
  <c r="AG40" i="30"/>
  <c r="AY36" i="30"/>
  <c r="AV39" i="30" s="1"/>
  <c r="AZ31" i="30"/>
  <c r="AZ32" i="30" s="1"/>
  <c r="AZ33" i="30" s="1"/>
  <c r="AZ34" i="30" s="1"/>
  <c r="AZ35" i="30" s="1"/>
  <c r="AG27" i="30"/>
  <c r="AV24" i="30"/>
  <c r="AY23" i="30"/>
  <c r="AV26" i="30" s="1"/>
  <c r="D22" i="30"/>
  <c r="D35" i="30" s="1"/>
  <c r="B22" i="30"/>
  <c r="B35" i="30" s="1"/>
  <c r="A22" i="30"/>
  <c r="A35" i="30" s="1"/>
  <c r="D21" i="30"/>
  <c r="D34" i="30" s="1"/>
  <c r="B21" i="30"/>
  <c r="B34" i="30" s="1"/>
  <c r="Q34" i="30" s="1"/>
  <c r="A21" i="30"/>
  <c r="A34" i="30" s="1"/>
  <c r="D20" i="30"/>
  <c r="D33" i="30" s="1"/>
  <c r="B20" i="30"/>
  <c r="B33" i="30" s="1"/>
  <c r="A20" i="30"/>
  <c r="A33" i="30" s="1"/>
  <c r="D19" i="30"/>
  <c r="D32" i="30" s="1"/>
  <c r="B19" i="30"/>
  <c r="B32" i="30" s="1"/>
  <c r="Q32" i="30" s="1"/>
  <c r="A19" i="30"/>
  <c r="A32" i="30" s="1"/>
  <c r="AZ18" i="30"/>
  <c r="AZ19" i="30" s="1"/>
  <c r="AZ20" i="30" s="1"/>
  <c r="AZ21" i="30" s="1"/>
  <c r="AZ22" i="30" s="1"/>
  <c r="D18" i="30"/>
  <c r="S18" i="30" s="1"/>
  <c r="B18" i="30"/>
  <c r="Q18" i="30" s="1"/>
  <c r="A18" i="30"/>
  <c r="P18" i="30" s="1"/>
  <c r="AG14" i="30"/>
  <c r="AY10" i="30"/>
  <c r="AV11" i="30" s="1"/>
  <c r="AJ10" i="30"/>
  <c r="AW9" i="30"/>
  <c r="AV9" i="30"/>
  <c r="AV35" i="30" s="1"/>
  <c r="AU9" i="30"/>
  <c r="AU22" i="30" s="1"/>
  <c r="AT9" i="30"/>
  <c r="AT22" i="30" s="1"/>
  <c r="AH9" i="30"/>
  <c r="AH22" i="30" s="1"/>
  <c r="AH35" i="30" s="1"/>
  <c r="AH48" i="30" s="1"/>
  <c r="S9" i="30"/>
  <c r="Q9" i="30"/>
  <c r="AF9" i="30" s="1"/>
  <c r="AF22" i="30" s="1"/>
  <c r="AF35" i="30" s="1"/>
  <c r="AF48" i="30" s="1"/>
  <c r="P9" i="30"/>
  <c r="AE9" i="30" s="1"/>
  <c r="AE22" i="30" s="1"/>
  <c r="AE35" i="30" s="1"/>
  <c r="AE48" i="30" s="1"/>
  <c r="R9" i="30"/>
  <c r="AG9" i="30" s="1"/>
  <c r="AG22" i="30" s="1"/>
  <c r="AG35" i="30" s="1"/>
  <c r="AG48" i="30" s="1"/>
  <c r="AW8" i="30"/>
  <c r="AW34" i="30" s="1"/>
  <c r="BA34" i="30" s="1"/>
  <c r="BC34" i="30" s="1"/>
  <c r="AU8" i="30"/>
  <c r="AT8" i="30"/>
  <c r="AH8" i="30"/>
  <c r="AH21" i="30" s="1"/>
  <c r="AH34" i="30" s="1"/>
  <c r="AH47" i="30" s="1"/>
  <c r="S8" i="30"/>
  <c r="R8" i="30"/>
  <c r="AG8" i="30" s="1"/>
  <c r="AG21" i="30" s="1"/>
  <c r="AG34" i="30" s="1"/>
  <c r="AG47" i="30" s="1"/>
  <c r="Q8" i="30"/>
  <c r="AF8" i="30" s="1"/>
  <c r="AF21" i="30" s="1"/>
  <c r="AF34" i="30" s="1"/>
  <c r="AF47" i="30" s="1"/>
  <c r="P8" i="30"/>
  <c r="AE8" i="30" s="1"/>
  <c r="AE21" i="30" s="1"/>
  <c r="AE34" i="30" s="1"/>
  <c r="AE47" i="30" s="1"/>
  <c r="C21" i="30"/>
  <c r="AW7" i="30"/>
  <c r="AV7" i="30"/>
  <c r="AV46" i="30" s="1"/>
  <c r="AU7" i="30"/>
  <c r="AU20" i="30" s="1"/>
  <c r="AT7" i="30"/>
  <c r="AT33" i="30" s="1"/>
  <c r="AH7" i="30"/>
  <c r="AH20" i="30" s="1"/>
  <c r="AH33" i="30" s="1"/>
  <c r="AH46" i="30" s="1"/>
  <c r="AF7" i="30"/>
  <c r="AF20" i="30" s="1"/>
  <c r="AF33" i="30" s="1"/>
  <c r="AF46" i="30" s="1"/>
  <c r="S7" i="30"/>
  <c r="Q7" i="30"/>
  <c r="P7" i="30"/>
  <c r="AE7" i="30" s="1"/>
  <c r="AE20" i="30" s="1"/>
  <c r="AE33" i="30" s="1"/>
  <c r="AE46" i="30" s="1"/>
  <c r="R7" i="30"/>
  <c r="AG7" i="30" s="1"/>
  <c r="AG20" i="30" s="1"/>
  <c r="AG33" i="30" s="1"/>
  <c r="AG46" i="30" s="1"/>
  <c r="AW6" i="30"/>
  <c r="AW45" i="30" s="1"/>
  <c r="BA45" i="30" s="1"/>
  <c r="BC45" i="30" s="1"/>
  <c r="AU6" i="30"/>
  <c r="AU32" i="30" s="1"/>
  <c r="AT6" i="30"/>
  <c r="S6" i="30"/>
  <c r="AH6" i="30" s="1"/>
  <c r="AH19" i="30" s="1"/>
  <c r="AH32" i="30" s="1"/>
  <c r="AH45" i="30" s="1"/>
  <c r="Q6" i="30"/>
  <c r="AF6" i="30" s="1"/>
  <c r="AF19" i="30" s="1"/>
  <c r="AF32" i="30" s="1"/>
  <c r="AF45" i="30" s="1"/>
  <c r="P6" i="30"/>
  <c r="AE6" i="30" s="1"/>
  <c r="AE19" i="30" s="1"/>
  <c r="AE32" i="30" s="1"/>
  <c r="AE45" i="30" s="1"/>
  <c r="C19" i="30"/>
  <c r="BA5" i="30"/>
  <c r="BC5" i="30" s="1"/>
  <c r="AZ5" i="30"/>
  <c r="AZ6" i="30" s="1"/>
  <c r="AZ7" i="30" s="1"/>
  <c r="AZ8" i="30" s="1"/>
  <c r="AZ9" i="30" s="1"/>
  <c r="AW5" i="30"/>
  <c r="AU5" i="30"/>
  <c r="AT5" i="30"/>
  <c r="AT44" i="30" s="1"/>
  <c r="S5" i="30"/>
  <c r="AH5" i="30" s="1"/>
  <c r="AH18" i="30" s="1"/>
  <c r="AH31" i="30" s="1"/>
  <c r="AH44" i="30" s="1"/>
  <c r="Q5" i="30"/>
  <c r="AF5" i="30" s="1"/>
  <c r="P5" i="30"/>
  <c r="AE5" i="30" s="1"/>
  <c r="AE18" i="30" s="1"/>
  <c r="AE31" i="30" s="1"/>
  <c r="AE44" i="30" s="1"/>
  <c r="C18" i="30"/>
  <c r="G96" i="29"/>
  <c r="E80" i="29"/>
  <c r="G93" i="29" s="1"/>
  <c r="G73" i="29"/>
  <c r="G65" i="29"/>
  <c r="F65" i="29"/>
  <c r="E65" i="29"/>
  <c r="D65" i="29"/>
  <c r="L53" i="29" a="1"/>
  <c r="L53" i="29" s="1"/>
  <c r="O48" i="29"/>
  <c r="O47" i="29"/>
  <c r="N43" i="29"/>
  <c r="P36" i="29"/>
  <c r="O42" i="29"/>
  <c r="P42" i="29" s="1"/>
  <c r="O35" i="29" s="1"/>
  <c r="N42" i="29"/>
  <c r="N41" i="29"/>
  <c r="P34" i="29"/>
  <c r="N40" i="29"/>
  <c r="P33" i="29"/>
  <c r="N37" i="29"/>
  <c r="N36" i="29"/>
  <c r="O43" i="29"/>
  <c r="P43" i="29" s="1"/>
  <c r="O36" i="29" s="1"/>
  <c r="P35" i="29"/>
  <c r="N35" i="29"/>
  <c r="N34" i="29"/>
  <c r="O41" i="29"/>
  <c r="P41" i="29" s="1"/>
  <c r="O34" i="29" s="1"/>
  <c r="F18" i="30" s="1"/>
  <c r="N33" i="29"/>
  <c r="O40" i="29"/>
  <c r="P40" i="29" s="1"/>
  <c r="O33" i="29" s="1"/>
  <c r="F5" i="30" s="1"/>
  <c r="F29" i="29"/>
  <c r="E29" i="29"/>
  <c r="F28" i="29"/>
  <c r="E28" i="29"/>
  <c r="F27" i="29"/>
  <c r="E27" i="29"/>
  <c r="F26" i="29"/>
  <c r="E26" i="29"/>
  <c r="F16" i="29"/>
  <c r="E16" i="29"/>
  <c r="D16" i="29"/>
  <c r="F11" i="29"/>
  <c r="E11" i="29"/>
  <c r="D11" i="29"/>
  <c r="F6" i="29"/>
  <c r="F14" i="29" s="1"/>
  <c r="E6" i="29"/>
  <c r="E14" i="29" s="1"/>
  <c r="D6" i="29"/>
  <c r="F12" i="29" l="1"/>
  <c r="F73" i="30"/>
  <c r="A74" i="30" s="1"/>
  <c r="G68" i="30"/>
  <c r="F69" i="30" s="1"/>
  <c r="P26" i="29"/>
  <c r="H26" i="29" s="1"/>
  <c r="V80" i="30"/>
  <c r="V102" i="30"/>
  <c r="Y102" i="30" s="1"/>
  <c r="P47" i="29"/>
  <c r="E12" i="29"/>
  <c r="P28" i="29"/>
  <c r="H28" i="29" s="1"/>
  <c r="P29" i="29"/>
  <c r="H29" i="29" s="1"/>
  <c r="G16" i="29"/>
  <c r="G95" i="29"/>
  <c r="G97" i="29" s="1"/>
  <c r="J68" i="30"/>
  <c r="J73" i="30" s="1"/>
  <c r="J75" i="30" s="1"/>
  <c r="G57" i="30"/>
  <c r="F58" i="30" s="1"/>
  <c r="H57" i="30"/>
  <c r="H62" i="30" s="1"/>
  <c r="D47" i="30"/>
  <c r="S47" i="30" s="1"/>
  <c r="S34" i="30"/>
  <c r="R18" i="30"/>
  <c r="C31" i="30"/>
  <c r="A48" i="30"/>
  <c r="P48" i="30" s="1"/>
  <c r="P35" i="30"/>
  <c r="D45" i="30"/>
  <c r="S45" i="30" s="1"/>
  <c r="S32" i="30"/>
  <c r="AF18" i="30"/>
  <c r="AJ5" i="30"/>
  <c r="C32" i="30"/>
  <c r="R19" i="30"/>
  <c r="C34" i="30"/>
  <c r="R21" i="30"/>
  <c r="AT45" i="30"/>
  <c r="AT32" i="30"/>
  <c r="AT47" i="30"/>
  <c r="AT34" i="30"/>
  <c r="AV12" i="30"/>
  <c r="AV14" i="30" s="1"/>
  <c r="P22" i="30"/>
  <c r="A31" i="30"/>
  <c r="W111" i="30"/>
  <c r="Y111" i="30" s="1"/>
  <c r="AW33" i="30"/>
  <c r="BA33" i="30" s="1"/>
  <c r="BC33" i="30" s="1"/>
  <c r="AW46" i="30"/>
  <c r="BA46" i="30" s="1"/>
  <c r="BC46" i="30" s="1"/>
  <c r="AU47" i="30"/>
  <c r="AU34" i="30"/>
  <c r="AW35" i="30"/>
  <c r="BA35" i="30" s="1"/>
  <c r="BC35" i="30" s="1"/>
  <c r="AW48" i="30"/>
  <c r="BA48" i="30" s="1"/>
  <c r="BC48" i="30" s="1"/>
  <c r="AT21" i="30"/>
  <c r="B48" i="30"/>
  <c r="Q48" i="30" s="1"/>
  <c r="Q35" i="30"/>
  <c r="Q22" i="30"/>
  <c r="B31" i="30"/>
  <c r="F31" i="30" s="1"/>
  <c r="AV50" i="30"/>
  <c r="AV52" i="30"/>
  <c r="R6" i="30"/>
  <c r="AG6" i="30" s="1"/>
  <c r="AG19" i="30" s="1"/>
  <c r="AG32" i="30" s="1"/>
  <c r="AG45" i="30" s="1"/>
  <c r="AV6" i="30"/>
  <c r="AV8" i="30"/>
  <c r="A46" i="30"/>
  <c r="P46" i="30" s="1"/>
  <c r="P33" i="30"/>
  <c r="P20" i="30"/>
  <c r="AU21" i="30"/>
  <c r="C22" i="30"/>
  <c r="AU45" i="30"/>
  <c r="AV51" i="30"/>
  <c r="BA7" i="30"/>
  <c r="BC7" i="30" s="1"/>
  <c r="BA9" i="30"/>
  <c r="BC9" i="30" s="1"/>
  <c r="AV13" i="30"/>
  <c r="A45" i="30"/>
  <c r="P45" i="30" s="1"/>
  <c r="P32" i="30"/>
  <c r="P19" i="30"/>
  <c r="AT19" i="30"/>
  <c r="B46" i="30"/>
  <c r="Q46" i="30" s="1"/>
  <c r="Q33" i="30"/>
  <c r="Q20" i="30"/>
  <c r="A47" i="30"/>
  <c r="P47" i="30" s="1"/>
  <c r="P34" i="30"/>
  <c r="P21" i="30"/>
  <c r="D48" i="30"/>
  <c r="S48" i="30" s="1"/>
  <c r="S35" i="30"/>
  <c r="S22" i="30"/>
  <c r="D31" i="30"/>
  <c r="AW47" i="30"/>
  <c r="BA47" i="30" s="1"/>
  <c r="BC47" i="30" s="1"/>
  <c r="AJ69" i="30"/>
  <c r="V111" i="30"/>
  <c r="AT18" i="30"/>
  <c r="Q19" i="30"/>
  <c r="AU19" i="30"/>
  <c r="C20" i="30"/>
  <c r="AT20" i="30"/>
  <c r="Q21" i="30"/>
  <c r="AW21" i="30"/>
  <c r="BA21" i="30" s="1"/>
  <c r="BC21" i="30" s="1"/>
  <c r="AV22" i="30"/>
  <c r="AV25" i="30"/>
  <c r="AV27" i="30" s="1"/>
  <c r="AT31" i="30"/>
  <c r="AJ58" i="30"/>
  <c r="G69" i="30"/>
  <c r="F70" i="30" s="1"/>
  <c r="AU31" i="30"/>
  <c r="AU44" i="30"/>
  <c r="BA6" i="30"/>
  <c r="BC6" i="30" s="1"/>
  <c r="BA8" i="30"/>
  <c r="BC8" i="30" s="1"/>
  <c r="AU18" i="30"/>
  <c r="S33" i="30"/>
  <c r="D46" i="30"/>
  <c r="S46" i="30" s="1"/>
  <c r="S20" i="30"/>
  <c r="AW22" i="30"/>
  <c r="BA22" i="30" s="1"/>
  <c r="BC22" i="30" s="1"/>
  <c r="AW32" i="30"/>
  <c r="BA32" i="30" s="1"/>
  <c r="BC32" i="30" s="1"/>
  <c r="AV33" i="30"/>
  <c r="AJ88" i="30"/>
  <c r="AL87" i="30"/>
  <c r="AL88" i="30" s="1"/>
  <c r="AK87" i="30"/>
  <c r="R5" i="30"/>
  <c r="AG5" i="30" s="1"/>
  <c r="AG18" i="30" s="1"/>
  <c r="AG31" i="30" s="1"/>
  <c r="AG44" i="30" s="1"/>
  <c r="AV5" i="30"/>
  <c r="AT48" i="30"/>
  <c r="AT35" i="30"/>
  <c r="S19" i="30"/>
  <c r="AW19" i="30"/>
  <c r="BA19" i="30" s="1"/>
  <c r="BC19" i="30" s="1"/>
  <c r="AV20" i="30"/>
  <c r="S21" i="30"/>
  <c r="AT46" i="30"/>
  <c r="AW31" i="30"/>
  <c r="BA31" i="30" s="1"/>
  <c r="AW44" i="30"/>
  <c r="BA44" i="30" s="1"/>
  <c r="AU33" i="30"/>
  <c r="AU46" i="30"/>
  <c r="AU48" i="30"/>
  <c r="AU35" i="30"/>
  <c r="AW18" i="30"/>
  <c r="BA18" i="30" s="1"/>
  <c r="AW20" i="30"/>
  <c r="BA20" i="30" s="1"/>
  <c r="BC20" i="30" s="1"/>
  <c r="B45" i="30"/>
  <c r="Q45" i="30" s="1"/>
  <c r="B47" i="30"/>
  <c r="Q47" i="30" s="1"/>
  <c r="AV48" i="30"/>
  <c r="U112" i="30"/>
  <c r="AV37" i="30"/>
  <c r="AV40" i="30" s="1"/>
  <c r="AY62" i="30"/>
  <c r="AT63" i="30" s="1"/>
  <c r="AY73" i="30"/>
  <c r="AT74" i="30" s="1"/>
  <c r="AN57" i="30"/>
  <c r="AN62" i="30" s="1"/>
  <c r="AN64" i="30" s="1"/>
  <c r="AN68" i="30"/>
  <c r="AN73" i="30" s="1"/>
  <c r="AN75" i="30" s="1"/>
  <c r="V57" i="30"/>
  <c r="U58" i="30" s="1"/>
  <c r="U62" i="30"/>
  <c r="P63" i="30" s="1"/>
  <c r="V68" i="30"/>
  <c r="U69" i="30" s="1"/>
  <c r="U73" i="30"/>
  <c r="P74" i="30" s="1"/>
  <c r="W80" i="30"/>
  <c r="W81" i="30" s="1"/>
  <c r="W110" i="30"/>
  <c r="V118" i="30"/>
  <c r="V126" i="30"/>
  <c r="AV38" i="30"/>
  <c r="W57" i="30"/>
  <c r="W62" i="30" s="1"/>
  <c r="W68" i="30"/>
  <c r="W73" i="30" s="1"/>
  <c r="V87" i="30"/>
  <c r="W118" i="30"/>
  <c r="W126" i="30"/>
  <c r="AZ57" i="30"/>
  <c r="AY58" i="30" s="1"/>
  <c r="AZ68" i="30"/>
  <c r="AY69" i="30" s="1"/>
  <c r="W87" i="30"/>
  <c r="W88" i="30" s="1"/>
  <c r="BA57" i="30"/>
  <c r="BA62" i="30" s="1"/>
  <c r="BA68" i="30"/>
  <c r="BA73" i="30" s="1"/>
  <c r="AK80" i="30"/>
  <c r="AL80" i="30"/>
  <c r="P27" i="29"/>
  <c r="H27" i="29" s="1"/>
  <c r="O26" i="29"/>
  <c r="O27" i="29"/>
  <c r="O28" i="29"/>
  <c r="O29" i="29"/>
  <c r="D12" i="29"/>
  <c r="D14" i="29"/>
  <c r="G14" i="29" s="1"/>
  <c r="L104" i="29"/>
  <c r="L105" i="29"/>
  <c r="I28" i="29" l="1"/>
  <c r="I29" i="29"/>
  <c r="BC10" i="30"/>
  <c r="G12" i="29"/>
  <c r="G15" i="29" s="1"/>
  <c r="W112" i="30"/>
  <c r="U103" i="30"/>
  <c r="V103" i="30" s="1"/>
  <c r="I27" i="29"/>
  <c r="D66" i="29"/>
  <c r="D67" i="29" s="1"/>
  <c r="I26" i="29"/>
  <c r="AN87" i="30"/>
  <c r="AN88" i="30" s="1"/>
  <c r="AN90" i="30" s="1"/>
  <c r="I100" i="29"/>
  <c r="J57" i="30"/>
  <c r="J62" i="30" s="1"/>
  <c r="J64" i="30" s="1"/>
  <c r="BC14" i="30"/>
  <c r="BC44" i="30"/>
  <c r="BC49" i="30" s="1"/>
  <c r="BA49" i="30"/>
  <c r="A44" i="30"/>
  <c r="P44" i="30" s="1"/>
  <c r="P31" i="30"/>
  <c r="R32" i="30"/>
  <c r="C45" i="30"/>
  <c r="R45" i="30" s="1"/>
  <c r="BA36" i="30"/>
  <c r="BC31" i="30"/>
  <c r="BC36" i="30" s="1"/>
  <c r="BC40" i="30" s="1"/>
  <c r="H58" i="30"/>
  <c r="J58" i="30" s="1"/>
  <c r="AL58" i="30"/>
  <c r="AN58" i="30" s="1"/>
  <c r="C33" i="30"/>
  <c r="R20" i="30"/>
  <c r="D44" i="30"/>
  <c r="S44" i="30" s="1"/>
  <c r="S31" i="30"/>
  <c r="AL5" i="30"/>
  <c r="AL10" i="30" s="1"/>
  <c r="AK5" i="30"/>
  <c r="G58" i="30"/>
  <c r="F59" i="30" s="1"/>
  <c r="AK58" i="30"/>
  <c r="Y57" i="30"/>
  <c r="Y62" i="30" s="1"/>
  <c r="Y64" i="30" s="1"/>
  <c r="R34" i="30"/>
  <c r="C47" i="30"/>
  <c r="R47" i="30" s="1"/>
  <c r="AF31" i="30"/>
  <c r="AJ18" i="30"/>
  <c r="C44" i="30"/>
  <c r="R44" i="30" s="1"/>
  <c r="R31" i="30"/>
  <c r="Y80" i="30"/>
  <c r="Y81" i="30" s="1"/>
  <c r="Y83" i="30" s="1"/>
  <c r="AZ69" i="30"/>
  <c r="AY70" i="30" s="1"/>
  <c r="BA23" i="30"/>
  <c r="BC18" i="30"/>
  <c r="BC23" i="30" s="1"/>
  <c r="BC27" i="30" s="1"/>
  <c r="BC68" i="30"/>
  <c r="BC73" i="30" s="1"/>
  <c r="BC75" i="30" s="1"/>
  <c r="AV44" i="30"/>
  <c r="AV18" i="30"/>
  <c r="AV31" i="30"/>
  <c r="AV47" i="30"/>
  <c r="AV34" i="30"/>
  <c r="AV21" i="30"/>
  <c r="AV53" i="30"/>
  <c r="BA10" i="30"/>
  <c r="AL81" i="30"/>
  <c r="AN80" i="30"/>
  <c r="AN81" i="30" s="1"/>
  <c r="AN83" i="30" s="1"/>
  <c r="AV32" i="30"/>
  <c r="AV45" i="30"/>
  <c r="AV19" i="30"/>
  <c r="Q31" i="30"/>
  <c r="B44" i="30"/>
  <c r="F44" i="30" s="1"/>
  <c r="BC57" i="30"/>
  <c r="BC62" i="30" s="1"/>
  <c r="BC64" i="30" s="1"/>
  <c r="AL69" i="30"/>
  <c r="AN69" i="30" s="1"/>
  <c r="C35" i="30"/>
  <c r="R22" i="30"/>
  <c r="Y87" i="30"/>
  <c r="Y88" i="30" s="1"/>
  <c r="Y90" i="30" s="1"/>
  <c r="Y126" i="30"/>
  <c r="U127" i="30"/>
  <c r="Y110" i="30"/>
  <c r="Y112" i="30" s="1"/>
  <c r="Y114" i="30" s="1"/>
  <c r="Y118" i="30"/>
  <c r="U119" i="30"/>
  <c r="V119" i="30" s="1"/>
  <c r="H69" i="30"/>
  <c r="J69" i="30" s="1"/>
  <c r="AK69" i="30"/>
  <c r="Y68" i="30"/>
  <c r="Y73" i="30" s="1"/>
  <c r="Y75" i="30" s="1"/>
  <c r="F66" i="29"/>
  <c r="F67" i="29" s="1"/>
  <c r="E66" i="29"/>
  <c r="E67" i="29" s="1"/>
  <c r="G66" i="29"/>
  <c r="G67" i="29" s="1"/>
  <c r="L103" i="29"/>
  <c r="G103" i="29" s="1"/>
  <c r="G107" i="29"/>
  <c r="D22" i="2"/>
  <c r="E80" i="9"/>
  <c r="G93" i="9" s="1"/>
  <c r="G95" i="9" s="1"/>
  <c r="G13" i="29" l="1"/>
  <c r="W103" i="30"/>
  <c r="W104" i="30" s="1"/>
  <c r="U104" i="30"/>
  <c r="I30" i="29"/>
  <c r="AL18" i="30"/>
  <c r="AL23" i="30" s="1"/>
  <c r="AK18" i="30"/>
  <c r="AJ23" i="30"/>
  <c r="AK6" i="30"/>
  <c r="AJ6" i="30"/>
  <c r="W69" i="30"/>
  <c r="Y69" i="30" s="1"/>
  <c r="AF44" i="30"/>
  <c r="AJ44" i="30" s="1"/>
  <c r="AJ31" i="30"/>
  <c r="C48" i="30"/>
  <c r="R48" i="30" s="1"/>
  <c r="R35" i="30"/>
  <c r="BA58" i="30"/>
  <c r="BC58" i="30" s="1"/>
  <c r="V69" i="30"/>
  <c r="U70" i="30" s="1"/>
  <c r="AN5" i="30"/>
  <c r="AN10" i="30" s="1"/>
  <c r="AN14" i="30" s="1"/>
  <c r="H70" i="30"/>
  <c r="J70" i="30" s="1"/>
  <c r="W58" i="30"/>
  <c r="Y58" i="30" s="1"/>
  <c r="AZ58" i="30"/>
  <c r="AY59" i="30" s="1"/>
  <c r="BA69" i="30"/>
  <c r="BC69" i="30" s="1"/>
  <c r="G70" i="30"/>
  <c r="F71" i="30" s="1"/>
  <c r="V58" i="30"/>
  <c r="U59" i="30" s="1"/>
  <c r="W119" i="30"/>
  <c r="W120" i="30" s="1"/>
  <c r="U120" i="30"/>
  <c r="BC53" i="30"/>
  <c r="W127" i="30"/>
  <c r="W128" i="30" s="1"/>
  <c r="U128" i="30"/>
  <c r="AJ70" i="30"/>
  <c r="AK70" i="30" s="1"/>
  <c r="V127" i="30"/>
  <c r="Q44" i="30"/>
  <c r="AJ59" i="30"/>
  <c r="AK59" i="30" s="1"/>
  <c r="R33" i="30"/>
  <c r="C46" i="30"/>
  <c r="R46" i="30" s="1"/>
  <c r="G72" i="29"/>
  <c r="G74" i="29" s="1"/>
  <c r="C71" i="29"/>
  <c r="G105" i="29"/>
  <c r="G96" i="9"/>
  <c r="Y103" i="30" l="1"/>
  <c r="Y104" i="30" s="1"/>
  <c r="Y106" i="30" s="1"/>
  <c r="Y127" i="30"/>
  <c r="Y128" i="30" s="1"/>
  <c r="Y130" i="30" s="1"/>
  <c r="AJ60" i="30"/>
  <c r="AJ71" i="30"/>
  <c r="AJ7" i="30"/>
  <c r="AK7" i="30" s="1"/>
  <c r="AJ19" i="30"/>
  <c r="AK19" i="30" s="1"/>
  <c r="G71" i="30"/>
  <c r="F72" i="30" s="1"/>
  <c r="Y119" i="30"/>
  <c r="Y120" i="30" s="1"/>
  <c r="Y122" i="30" s="1"/>
  <c r="AN18" i="30"/>
  <c r="AN23" i="30" s="1"/>
  <c r="AN27" i="30" s="1"/>
  <c r="AL70" i="30"/>
  <c r="AN70" i="30" s="1"/>
  <c r="AL31" i="30"/>
  <c r="AL36" i="30" s="1"/>
  <c r="AJ36" i="30"/>
  <c r="AK31" i="30"/>
  <c r="H59" i="30"/>
  <c r="J59" i="30" s="1"/>
  <c r="BA70" i="30"/>
  <c r="BC70" i="30" s="1"/>
  <c r="AZ70" i="30"/>
  <c r="AY71" i="30" s="1"/>
  <c r="AL44" i="30"/>
  <c r="AL49" i="30" s="1"/>
  <c r="AK44" i="30"/>
  <c r="AJ49" i="30"/>
  <c r="G59" i="30"/>
  <c r="F60" i="30" s="1"/>
  <c r="AL59" i="30"/>
  <c r="AN59" i="30" s="1"/>
  <c r="AN6" i="30"/>
  <c r="AL6" i="30"/>
  <c r="S48" i="9"/>
  <c r="S47" i="9"/>
  <c r="AN44" i="30" l="1"/>
  <c r="AN49" i="30" s="1"/>
  <c r="AN53" i="30" s="1"/>
  <c r="AJ20" i="30"/>
  <c r="AK20" i="30"/>
  <c r="H71" i="30"/>
  <c r="J71" i="30" s="1"/>
  <c r="AJ8" i="30"/>
  <c r="AJ32" i="30"/>
  <c r="AK32" i="30" s="1"/>
  <c r="W70" i="30"/>
  <c r="Y70" i="30" s="1"/>
  <c r="W59" i="30"/>
  <c r="Y59" i="30" s="1"/>
  <c r="G60" i="30"/>
  <c r="F61" i="30" s="1"/>
  <c r="BA59" i="30"/>
  <c r="BC59" i="30" s="1"/>
  <c r="AN31" i="30"/>
  <c r="AN36" i="30" s="1"/>
  <c r="AN40" i="30" s="1"/>
  <c r="V59" i="30"/>
  <c r="U60" i="30" s="1"/>
  <c r="AL71" i="30"/>
  <c r="AN71" i="30" s="1"/>
  <c r="AZ59" i="30"/>
  <c r="AY60" i="30" s="1"/>
  <c r="AL19" i="30"/>
  <c r="AN19" i="30" s="1"/>
  <c r="AK71" i="30"/>
  <c r="V70" i="30"/>
  <c r="U71" i="30" s="1"/>
  <c r="AZ71" i="30"/>
  <c r="AY72" i="30" s="1"/>
  <c r="AN60" i="30"/>
  <c r="AL60" i="30"/>
  <c r="AJ45" i="30"/>
  <c r="AK45" i="30" s="1"/>
  <c r="AP7" i="30"/>
  <c r="AP10" i="30" s="1"/>
  <c r="AL7" i="30"/>
  <c r="AN7" i="30" s="1"/>
  <c r="AK60" i="30"/>
  <c r="G97" i="9"/>
  <c r="R47" i="9"/>
  <c r="R48" i="9"/>
  <c r="AJ33" i="30" l="1"/>
  <c r="AK33" i="30"/>
  <c r="H72" i="30"/>
  <c r="J72" i="30" s="1"/>
  <c r="G72" i="30"/>
  <c r="AJ61" i="30"/>
  <c r="AK61" i="30"/>
  <c r="AL45" i="30"/>
  <c r="AN45" i="30" s="1"/>
  <c r="H60" i="30"/>
  <c r="J60" i="30" s="1"/>
  <c r="AL32" i="30"/>
  <c r="AN32" i="30" s="1"/>
  <c r="AR8" i="30"/>
  <c r="AQ8" i="30"/>
  <c r="AP8" i="30" s="1"/>
  <c r="AL8" i="30"/>
  <c r="AN8" i="30" s="1"/>
  <c r="AJ72" i="30"/>
  <c r="AK72" i="30"/>
  <c r="AK8" i="30"/>
  <c r="AJ21" i="30"/>
  <c r="AJ46" i="30"/>
  <c r="BA71" i="30"/>
  <c r="BC71" i="30" s="1"/>
  <c r="AP20" i="30"/>
  <c r="AP23" i="30" s="1"/>
  <c r="AL20" i="30"/>
  <c r="AN20" i="30" s="1"/>
  <c r="O53" i="9" a="1"/>
  <c r="O53" i="9" s="1"/>
  <c r="F54" i="24"/>
  <c r="D54" i="24"/>
  <c r="F45" i="24"/>
  <c r="D45" i="24"/>
  <c r="D13" i="24"/>
  <c r="F13" i="24"/>
  <c r="O48" i="24"/>
  <c r="O49" i="24" s="1"/>
  <c r="N48" i="24" s="1"/>
  <c r="O16" i="24"/>
  <c r="O17" i="24" s="1"/>
  <c r="N16" i="24" s="1"/>
  <c r="F22" i="24"/>
  <c r="D22" i="24"/>
  <c r="H42" i="24"/>
  <c r="H10" i="24"/>
  <c r="M32" i="24"/>
  <c r="AP46" i="30" l="1"/>
  <c r="AP49" i="30" s="1"/>
  <c r="AL46" i="30"/>
  <c r="AN46" i="30" s="1"/>
  <c r="W60" i="30"/>
  <c r="Y60" i="30" s="1"/>
  <c r="AK46" i="30"/>
  <c r="V60" i="30"/>
  <c r="U61" i="30" s="1"/>
  <c r="BA60" i="30"/>
  <c r="BC60" i="30" s="1"/>
  <c r="AJ34" i="30"/>
  <c r="AQ21" i="30"/>
  <c r="AP21" i="30" s="1"/>
  <c r="AL21" i="30"/>
  <c r="AN21" i="30" s="1"/>
  <c r="AR21" i="30"/>
  <c r="AZ60" i="30"/>
  <c r="AY61" i="30" s="1"/>
  <c r="AP33" i="30"/>
  <c r="AP36" i="30" s="1"/>
  <c r="AL33" i="30"/>
  <c r="AN33" i="30" s="1"/>
  <c r="AK21" i="30"/>
  <c r="AL72" i="30"/>
  <c r="AN72" i="30" s="1"/>
  <c r="H61" i="30"/>
  <c r="J61" i="30" s="1"/>
  <c r="AL61" i="30"/>
  <c r="AN61" i="30" s="1"/>
  <c r="BA72" i="30"/>
  <c r="BC72" i="30" s="1"/>
  <c r="AJ9" i="30"/>
  <c r="G61" i="30"/>
  <c r="AZ72" i="30"/>
  <c r="W71" i="30"/>
  <c r="Y71" i="30" s="1"/>
  <c r="V71" i="30"/>
  <c r="U72" i="30" s="1"/>
  <c r="H68" i="24"/>
  <c r="J68" i="24"/>
  <c r="D68" i="24"/>
  <c r="F68" i="24"/>
  <c r="H36" i="24"/>
  <c r="D11" i="9"/>
  <c r="T5" i="26"/>
  <c r="U5" i="26" s="1"/>
  <c r="L6" i="26"/>
  <c r="T6" i="26"/>
  <c r="X6" i="26" s="1"/>
  <c r="L7" i="26"/>
  <c r="Z7" i="26" s="1"/>
  <c r="T7" i="26"/>
  <c r="U7" i="26" s="1"/>
  <c r="L8" i="26"/>
  <c r="T8" i="26"/>
  <c r="U8" i="26" s="1"/>
  <c r="L9" i="26"/>
  <c r="Y9" i="26" s="1"/>
  <c r="T9" i="26"/>
  <c r="W9" i="26" s="1"/>
  <c r="L10" i="26"/>
  <c r="AB10" i="26" s="1"/>
  <c r="T10" i="26"/>
  <c r="U10" i="26" s="1"/>
  <c r="L11" i="26"/>
  <c r="T11" i="26"/>
  <c r="V11" i="26" s="1"/>
  <c r="L12" i="26"/>
  <c r="T12" i="26"/>
  <c r="V12" i="26" s="1"/>
  <c r="L13" i="26"/>
  <c r="T13" i="26"/>
  <c r="U13" i="26" s="1"/>
  <c r="L14" i="26"/>
  <c r="Z14" i="26" s="1"/>
  <c r="T14" i="26"/>
  <c r="X14" i="26" s="1"/>
  <c r="L15" i="26"/>
  <c r="T15" i="26"/>
  <c r="U15" i="26" s="1"/>
  <c r="L16" i="26"/>
  <c r="T16" i="26"/>
  <c r="X16" i="26" s="1"/>
  <c r="L17" i="26"/>
  <c r="Y17" i="26" s="1"/>
  <c r="T17" i="26"/>
  <c r="W17" i="26" s="1"/>
  <c r="L18" i="26"/>
  <c r="AB18" i="26" s="1"/>
  <c r="T18" i="26"/>
  <c r="V18" i="26" s="1"/>
  <c r="L19" i="26"/>
  <c r="T19" i="26"/>
  <c r="V19" i="26" s="1"/>
  <c r="L20" i="26"/>
  <c r="T20" i="26"/>
  <c r="V20" i="26" s="1"/>
  <c r="L21" i="26"/>
  <c r="T21" i="26"/>
  <c r="U21" i="26" s="1"/>
  <c r="L22" i="26"/>
  <c r="T22" i="26"/>
  <c r="X22" i="26" s="1"/>
  <c r="L23" i="26"/>
  <c r="T23" i="26"/>
  <c r="U23" i="26" s="1"/>
  <c r="L24" i="26"/>
  <c r="T24" i="26"/>
  <c r="W24" i="26" s="1"/>
  <c r="L25" i="26"/>
  <c r="T25" i="26"/>
  <c r="U25" i="26" s="1"/>
  <c r="L26" i="26"/>
  <c r="AA26" i="26" s="1"/>
  <c r="T26" i="26"/>
  <c r="V26" i="26" s="1"/>
  <c r="L27" i="26"/>
  <c r="T27" i="26"/>
  <c r="V27" i="26" s="1"/>
  <c r="L28" i="26"/>
  <c r="T28" i="26"/>
  <c r="V28" i="26" s="1"/>
  <c r="L29" i="26"/>
  <c r="T29" i="26"/>
  <c r="U29" i="26" s="1"/>
  <c r="F24" i="24"/>
  <c r="K32" i="24"/>
  <c r="L32" i="24"/>
  <c r="N32" i="24"/>
  <c r="O32" i="24"/>
  <c r="P32" i="24"/>
  <c r="F56" i="24"/>
  <c r="K64" i="24"/>
  <c r="L64" i="24" s="1"/>
  <c r="M64" i="24"/>
  <c r="N64" i="24"/>
  <c r="O64" i="24"/>
  <c r="P64" i="24"/>
  <c r="E11" i="9"/>
  <c r="G73" i="9"/>
  <c r="D16" i="9"/>
  <c r="G65" i="9"/>
  <c r="F65" i="9"/>
  <c r="E65" i="9"/>
  <c r="D65" i="9"/>
  <c r="O28" i="6"/>
  <c r="P28" i="6"/>
  <c r="F28" i="6"/>
  <c r="N54" i="9" l="1"/>
  <c r="AJ22" i="30"/>
  <c r="AQ34" i="30"/>
  <c r="AP34" i="30" s="1"/>
  <c r="AL34" i="30"/>
  <c r="AN34" i="30" s="1"/>
  <c r="AR34" i="30"/>
  <c r="AK34" i="30"/>
  <c r="AZ61" i="30"/>
  <c r="AP9" i="30"/>
  <c r="AL9" i="30"/>
  <c r="AN9" i="30" s="1"/>
  <c r="AK9" i="30"/>
  <c r="AJ47" i="30"/>
  <c r="O104" i="9"/>
  <c r="J36" i="24"/>
  <c r="D36" i="24"/>
  <c r="F36" i="24"/>
  <c r="U27" i="26"/>
  <c r="W21" i="26"/>
  <c r="W6" i="26"/>
  <c r="U19" i="26"/>
  <c r="V16" i="26"/>
  <c r="Z8" i="26"/>
  <c r="Y8" i="26"/>
  <c r="AA8" i="26"/>
  <c r="U12" i="26"/>
  <c r="V8" i="26"/>
  <c r="W28" i="26"/>
  <c r="W12" i="26"/>
  <c r="X17" i="26"/>
  <c r="X9" i="26"/>
  <c r="W22" i="26"/>
  <c r="W19" i="26"/>
  <c r="U17" i="26"/>
  <c r="W14" i="26"/>
  <c r="V9" i="26"/>
  <c r="AB14" i="26"/>
  <c r="AA14" i="26"/>
  <c r="Y14" i="26"/>
  <c r="X27" i="26"/>
  <c r="W27" i="26"/>
  <c r="AA7" i="26"/>
  <c r="Z16" i="26"/>
  <c r="Y16" i="26"/>
  <c r="AA16" i="26"/>
  <c r="Z15" i="26"/>
  <c r="AA15" i="26"/>
  <c r="AB15" i="26"/>
  <c r="Y15" i="26"/>
  <c r="Z23" i="26"/>
  <c r="Y23" i="26"/>
  <c r="AA23" i="26"/>
  <c r="AB23" i="26"/>
  <c r="Z22" i="26"/>
  <c r="AA22" i="26"/>
  <c r="AB22" i="26"/>
  <c r="Y22" i="26"/>
  <c r="Z24" i="26"/>
  <c r="Y24" i="26"/>
  <c r="AA24" i="26"/>
  <c r="Y25" i="26"/>
  <c r="AA25" i="26"/>
  <c r="U20" i="26"/>
  <c r="AA18" i="26"/>
  <c r="V17" i="26"/>
  <c r="W16" i="26"/>
  <c r="X10" i="26"/>
  <c r="X25" i="26"/>
  <c r="X18" i="26"/>
  <c r="W10" i="26"/>
  <c r="U9" i="26"/>
  <c r="U28" i="26"/>
  <c r="X26" i="26"/>
  <c r="W25" i="26"/>
  <c r="X24" i="26"/>
  <c r="W18" i="26"/>
  <c r="U16" i="26"/>
  <c r="X11" i="26"/>
  <c r="V10" i="26"/>
  <c r="W26" i="26"/>
  <c r="V25" i="26"/>
  <c r="V24" i="26"/>
  <c r="X19" i="26"/>
  <c r="U18" i="26"/>
  <c r="W13" i="26"/>
  <c r="W11" i="26"/>
  <c r="U26" i="26"/>
  <c r="U24" i="26"/>
  <c r="U11" i="26"/>
  <c r="AB7" i="26"/>
  <c r="W5" i="26"/>
  <c r="W29" i="26"/>
  <c r="Y7" i="26"/>
  <c r="AA10" i="26"/>
  <c r="X8" i="26"/>
  <c r="Y19" i="26"/>
  <c r="Z19" i="26"/>
  <c r="AA19" i="26"/>
  <c r="AB19" i="26"/>
  <c r="AA29" i="26"/>
  <c r="AB29" i="26"/>
  <c r="Z29" i="26"/>
  <c r="Y29" i="26"/>
  <c r="Y27" i="26"/>
  <c r="Z27" i="26"/>
  <c r="AA27" i="26"/>
  <c r="AB27" i="26"/>
  <c r="Y12" i="26"/>
  <c r="Z12" i="26"/>
  <c r="AA12" i="26"/>
  <c r="AB12" i="26"/>
  <c r="Z21" i="26"/>
  <c r="AA21" i="26"/>
  <c r="AB21" i="26"/>
  <c r="Y21" i="26"/>
  <c r="Y20" i="26"/>
  <c r="Z20" i="26"/>
  <c r="AA20" i="26"/>
  <c r="AB20" i="26"/>
  <c r="Y28" i="26"/>
  <c r="Z28" i="26"/>
  <c r="AA28" i="26"/>
  <c r="AB28" i="26"/>
  <c r="Y6" i="26"/>
  <c r="Z6" i="26"/>
  <c r="AB6" i="26"/>
  <c r="AA6" i="26"/>
  <c r="AA13" i="26"/>
  <c r="AB13" i="26"/>
  <c r="Y13" i="26"/>
  <c r="Z13" i="26"/>
  <c r="Z5" i="26"/>
  <c r="AA5" i="26"/>
  <c r="AB5" i="26"/>
  <c r="Y5" i="26"/>
  <c r="Y11" i="26"/>
  <c r="Z11" i="26"/>
  <c r="AA11" i="26"/>
  <c r="AB11" i="26"/>
  <c r="Z26" i="26"/>
  <c r="V22" i="26"/>
  <c r="Z18" i="26"/>
  <c r="V14" i="26"/>
  <c r="Z10" i="26"/>
  <c r="V6" i="26"/>
  <c r="X29" i="26"/>
  <c r="Y26" i="26"/>
  <c r="AB25" i="26"/>
  <c r="U22" i="26"/>
  <c r="X21" i="26"/>
  <c r="Y18" i="26"/>
  <c r="AB17" i="26"/>
  <c r="U14" i="26"/>
  <c r="X13" i="26"/>
  <c r="Y10" i="26"/>
  <c r="AB9" i="26"/>
  <c r="W8" i="26"/>
  <c r="U6" i="26"/>
  <c r="X5" i="26"/>
  <c r="X7" i="26"/>
  <c r="V5" i="26"/>
  <c r="AA17" i="26"/>
  <c r="AA9" i="26"/>
  <c r="V29" i="26"/>
  <c r="Z25" i="26"/>
  <c r="X23" i="26"/>
  <c r="V21" i="26"/>
  <c r="Z17" i="26"/>
  <c r="X15" i="26"/>
  <c r="V13" i="26"/>
  <c r="Z9" i="26"/>
  <c r="X28" i="26"/>
  <c r="AB24" i="26"/>
  <c r="W23" i="26"/>
  <c r="X20" i="26"/>
  <c r="AB16" i="26"/>
  <c r="W15" i="26"/>
  <c r="X12" i="26"/>
  <c r="AB8" i="26"/>
  <c r="W7" i="26"/>
  <c r="V23" i="26"/>
  <c r="W20" i="26"/>
  <c r="V15" i="26"/>
  <c r="V7" i="26"/>
  <c r="AB26" i="26"/>
  <c r="D56" i="24"/>
  <c r="D24" i="24"/>
  <c r="C20" i="18"/>
  <c r="C12" i="18"/>
  <c r="C17" i="18" s="1"/>
  <c r="C18" i="18" s="1"/>
  <c r="D22" i="17"/>
  <c r="D20" i="17" s="1"/>
  <c r="E22" i="17"/>
  <c r="E20" i="17" s="1"/>
  <c r="F22" i="17"/>
  <c r="F20" i="17" s="1"/>
  <c r="E6" i="17"/>
  <c r="D10" i="15"/>
  <c r="E10" i="15" s="1"/>
  <c r="G10" i="15" s="1"/>
  <c r="H10" i="15" s="1"/>
  <c r="D13" i="15"/>
  <c r="E13" i="15" s="1"/>
  <c r="G13" i="15" s="1"/>
  <c r="H13" i="15" s="1"/>
  <c r="D22" i="15"/>
  <c r="E22" i="15" s="1"/>
  <c r="G22" i="15" s="1"/>
  <c r="H22" i="15" s="1"/>
  <c r="D25" i="15"/>
  <c r="E25" i="15" s="1"/>
  <c r="G25" i="15" s="1"/>
  <c r="H25" i="15" s="1"/>
  <c r="D34" i="15"/>
  <c r="E34" i="15" s="1"/>
  <c r="G34" i="15" s="1"/>
  <c r="H34" i="15" s="1"/>
  <c r="D37" i="15"/>
  <c r="E37" i="15" s="1"/>
  <c r="G37" i="15" s="1"/>
  <c r="H37" i="15" s="1"/>
  <c r="D46" i="15"/>
  <c r="E46" i="15" s="1"/>
  <c r="G46" i="15" s="1"/>
  <c r="H46" i="15" s="1"/>
  <c r="D49" i="15"/>
  <c r="E49" i="15" s="1"/>
  <c r="G49" i="15" s="1"/>
  <c r="H49" i="15" s="1"/>
  <c r="N53" i="9" l="1"/>
  <c r="D24" i="18"/>
  <c r="AL22" i="30"/>
  <c r="AP22" i="30"/>
  <c r="AN22" i="30"/>
  <c r="W61" i="30"/>
  <c r="Y61" i="30" s="1"/>
  <c r="AK22" i="30"/>
  <c r="V61" i="30"/>
  <c r="W72" i="30"/>
  <c r="Y72" i="30" s="1"/>
  <c r="V72" i="30"/>
  <c r="AR47" i="30"/>
  <c r="AQ47" i="30"/>
  <c r="AP47" i="30" s="1"/>
  <c r="AL47" i="30"/>
  <c r="AN47" i="30" s="1"/>
  <c r="AK47" i="30"/>
  <c r="BA61" i="30"/>
  <c r="BC61" i="30" s="1"/>
  <c r="AJ35" i="30"/>
  <c r="AK35" i="30" s="1"/>
  <c r="F58" i="24"/>
  <c r="F26" i="24"/>
  <c r="F28" i="24" s="1"/>
  <c r="I31" i="26"/>
  <c r="F33" i="9" s="1"/>
  <c r="H40" i="24"/>
  <c r="J31" i="26"/>
  <c r="D40" i="9" s="1"/>
  <c r="S33" i="9" s="1"/>
  <c r="I33" i="26"/>
  <c r="F35" i="9" s="1"/>
  <c r="J33" i="26"/>
  <c r="D42" i="9" s="1"/>
  <c r="S35" i="9" s="1"/>
  <c r="I34" i="26"/>
  <c r="F36" i="9" s="1"/>
  <c r="I32" i="26"/>
  <c r="F34" i="9" s="1"/>
  <c r="J32" i="26"/>
  <c r="D41" i="9" s="1"/>
  <c r="S34" i="9" s="1"/>
  <c r="J34" i="26"/>
  <c r="D43" i="9" s="1"/>
  <c r="S36" i="9" s="1"/>
  <c r="H8" i="24"/>
  <c r="D12" i="9"/>
  <c r="D23" i="17"/>
  <c r="E23" i="17"/>
  <c r="F23" i="17"/>
  <c r="H15" i="15"/>
  <c r="H16" i="15" s="1"/>
  <c r="H39" i="15"/>
  <c r="H27" i="15"/>
  <c r="H28" i="15" s="1"/>
  <c r="H51" i="15"/>
  <c r="G51" i="9" l="1"/>
  <c r="G107" i="9" s="1"/>
  <c r="AJ48" i="30"/>
  <c r="AL35" i="30"/>
  <c r="AN35" i="30" s="1"/>
  <c r="AP35" i="30"/>
  <c r="F60" i="24"/>
  <c r="H58" i="24" s="1"/>
  <c r="D34" i="24"/>
  <c r="C25" i="2"/>
  <c r="AP48" i="30" l="1"/>
  <c r="AL48" i="30"/>
  <c r="AN48" i="30" s="1"/>
  <c r="AK48" i="30"/>
  <c r="Q16" i="24"/>
  <c r="O103" i="9"/>
  <c r="G103" i="9" s="1"/>
  <c r="G104" i="9" s="1"/>
  <c r="D66" i="24"/>
  <c r="F66" i="24"/>
  <c r="H66" i="24"/>
  <c r="J66" i="24"/>
  <c r="M46" i="9"/>
  <c r="F34" i="24"/>
  <c r="J34" i="24"/>
  <c r="H26" i="24"/>
  <c r="H34" i="24"/>
  <c r="F14" i="9"/>
  <c r="F12" i="9"/>
  <c r="E14" i="9"/>
  <c r="E12" i="9"/>
  <c r="C6" i="5"/>
  <c r="R6" i="5"/>
  <c r="C7" i="5"/>
  <c r="C8" i="5"/>
  <c r="C9" i="5"/>
  <c r="J14" i="9" l="1"/>
  <c r="J12" i="9"/>
  <c r="F80" i="30"/>
  <c r="Q51" i="24"/>
  <c r="Q50" i="24"/>
  <c r="Q49" i="24"/>
  <c r="Q48" i="24"/>
  <c r="N47" i="9"/>
  <c r="N46" i="9"/>
  <c r="N48" i="9"/>
  <c r="N49" i="9"/>
  <c r="M49" i="9"/>
  <c r="Q19" i="24"/>
  <c r="M48" i="9"/>
  <c r="Q18" i="24"/>
  <c r="M47" i="9"/>
  <c r="Q17" i="24"/>
  <c r="M53" i="9" l="1"/>
  <c r="F87" i="30"/>
  <c r="M54" i="9"/>
  <c r="AG6" i="5"/>
  <c r="G87" i="30" l="1"/>
  <c r="F88" i="30"/>
  <c r="H87" i="30"/>
  <c r="H88" i="30" s="1"/>
  <c r="H80" i="30"/>
  <c r="H81" i="30" s="1"/>
  <c r="G80" i="30"/>
  <c r="F81" i="30"/>
  <c r="H2" i="13"/>
  <c r="J87" i="30" l="1"/>
  <c r="J88" i="30" s="1"/>
  <c r="J90" i="30" s="1"/>
  <c r="G48" i="29" s="1"/>
  <c r="J80" i="30"/>
  <c r="J81" i="30" s="1"/>
  <c r="J83" i="30" s="1"/>
  <c r="G47" i="29" s="1"/>
  <c r="D50" i="7"/>
  <c r="N103" i="1"/>
  <c r="O103" i="1" s="1"/>
  <c r="G8" i="11" l="1"/>
  <c r="J54" i="6"/>
  <c r="G6" i="11" l="1"/>
  <c r="E26" i="9" l="1"/>
  <c r="AJ87" i="5"/>
  <c r="AJ80" i="5"/>
  <c r="AJ68" i="5"/>
  <c r="AJ57" i="5"/>
  <c r="H1" i="13"/>
  <c r="C5" i="11"/>
  <c r="D5" i="11"/>
  <c r="C6" i="11"/>
  <c r="D6" i="11"/>
  <c r="C7" i="11"/>
  <c r="D7" i="11"/>
  <c r="G7" i="11"/>
  <c r="C8" i="11"/>
  <c r="D8" i="11"/>
  <c r="C9" i="11"/>
  <c r="D9" i="11"/>
  <c r="C10" i="11"/>
  <c r="D10" i="11"/>
  <c r="C11" i="11"/>
  <c r="D11" i="11"/>
  <c r="C12" i="11"/>
  <c r="D12" i="11"/>
  <c r="C13" i="11"/>
  <c r="D13" i="11"/>
  <c r="C14" i="11"/>
  <c r="D14" i="11"/>
  <c r="C15" i="11"/>
  <c r="D15" i="11"/>
  <c r="C16" i="11"/>
  <c r="D16" i="11"/>
  <c r="C17" i="11"/>
  <c r="D17" i="11"/>
  <c r="C18" i="11"/>
  <c r="D18" i="11"/>
  <c r="C19" i="11"/>
  <c r="D19" i="11"/>
  <c r="C20" i="11"/>
  <c r="D20" i="11"/>
  <c r="C21" i="11"/>
  <c r="D21" i="11"/>
  <c r="C22" i="11"/>
  <c r="D22" i="11"/>
  <c r="C23" i="11"/>
  <c r="D23" i="11"/>
  <c r="C24" i="11"/>
  <c r="D24" i="11"/>
  <c r="C26" i="11"/>
  <c r="D26" i="11"/>
  <c r="C27" i="11"/>
  <c r="D27" i="11"/>
  <c r="C28" i="11"/>
  <c r="D28" i="11"/>
  <c r="C29" i="11"/>
  <c r="D29" i="11"/>
  <c r="C30" i="11"/>
  <c r="D30" i="11"/>
  <c r="C31" i="11"/>
  <c r="D31" i="11"/>
  <c r="C32" i="11"/>
  <c r="D32" i="11"/>
  <c r="C33" i="11"/>
  <c r="D33" i="11"/>
  <c r="C34" i="11"/>
  <c r="D34" i="11"/>
  <c r="C35" i="11"/>
  <c r="D35" i="11"/>
  <c r="C36" i="11"/>
  <c r="D36" i="11"/>
  <c r="C37" i="11"/>
  <c r="D37" i="11"/>
  <c r="C38" i="11"/>
  <c r="D38" i="11"/>
  <c r="C39" i="11"/>
  <c r="D39" i="11"/>
  <c r="C40" i="11"/>
  <c r="D40" i="11"/>
  <c r="C41" i="11"/>
  <c r="D41" i="11"/>
  <c r="C42" i="11"/>
  <c r="D42" i="11"/>
  <c r="C57" i="11"/>
  <c r="D57" i="11"/>
  <c r="O105" i="9" l="1"/>
  <c r="G105" i="9" s="1"/>
  <c r="R43" i="9"/>
  <c r="S43" i="9" s="1"/>
  <c r="R36" i="9" s="1"/>
  <c r="R42" i="9"/>
  <c r="S42" i="9" s="1"/>
  <c r="R35" i="9" s="1"/>
  <c r="R41" i="9"/>
  <c r="S41" i="9" s="1"/>
  <c r="R34" i="9" s="1"/>
  <c r="R40" i="9"/>
  <c r="S40" i="9" s="1"/>
  <c r="R33" i="9" s="1"/>
  <c r="F87" i="5"/>
  <c r="F80" i="5"/>
  <c r="AY68" i="5"/>
  <c r="U68" i="5"/>
  <c r="F68" i="5"/>
  <c r="AY57" i="5"/>
  <c r="U57" i="5"/>
  <c r="F57" i="5"/>
  <c r="F26" i="9"/>
  <c r="E27" i="9"/>
  <c r="F27" i="9"/>
  <c r="E28" i="9"/>
  <c r="F28" i="9"/>
  <c r="E29" i="9"/>
  <c r="F29" i="9"/>
  <c r="Q33" i="9"/>
  <c r="Q34" i="9"/>
  <c r="Q35" i="9"/>
  <c r="Q36" i="9"/>
  <c r="Q37" i="9"/>
  <c r="Q40" i="9"/>
  <c r="Q41" i="9"/>
  <c r="Q42" i="9"/>
  <c r="Q43" i="9"/>
  <c r="P29" i="6"/>
  <c r="P30" i="6" s="1"/>
  <c r="P31" i="6" s="1"/>
  <c r="P32" i="6" s="1"/>
  <c r="O29" i="6"/>
  <c r="O30" i="6" s="1"/>
  <c r="O31" i="6" s="1"/>
  <c r="O32" i="6" s="1"/>
  <c r="O33" i="6" s="1"/>
  <c r="O34" i="6" s="1"/>
  <c r="N28" i="6"/>
  <c r="N29" i="6" s="1"/>
  <c r="N30" i="6" s="1"/>
  <c r="N31" i="6" s="1"/>
  <c r="N32" i="6" s="1"/>
  <c r="N33" i="6" s="1"/>
  <c r="N34" i="6" s="1"/>
  <c r="M28" i="6"/>
  <c r="M29" i="6" s="1"/>
  <c r="M30" i="6" s="1"/>
  <c r="M31" i="6" s="1"/>
  <c r="M32" i="6" s="1"/>
  <c r="M33" i="6" s="1"/>
  <c r="M34" i="6" s="1"/>
  <c r="L28" i="6"/>
  <c r="L29" i="6" s="1"/>
  <c r="L30" i="6" s="1"/>
  <c r="L31" i="6" s="1"/>
  <c r="L32" i="6" s="1"/>
  <c r="L33" i="6" s="1"/>
  <c r="L34" i="6" s="1"/>
  <c r="K28" i="6"/>
  <c r="K29" i="6" s="1"/>
  <c r="K30" i="6" s="1"/>
  <c r="K31" i="6" s="1"/>
  <c r="K32" i="6" s="1"/>
  <c r="K33" i="6" s="1"/>
  <c r="K34" i="6" s="1"/>
  <c r="J28" i="6"/>
  <c r="J29" i="6" s="1"/>
  <c r="J30" i="6" s="1"/>
  <c r="J31" i="6" s="1"/>
  <c r="J32" i="6" s="1"/>
  <c r="J33" i="6" s="1"/>
  <c r="J34" i="6" s="1"/>
  <c r="I28" i="6"/>
  <c r="I29" i="6" s="1"/>
  <c r="I30" i="6" s="1"/>
  <c r="I31" i="6" s="1"/>
  <c r="I32" i="6" s="1"/>
  <c r="I33" i="6" s="1"/>
  <c r="I34" i="6" s="1"/>
  <c r="H28" i="6"/>
  <c r="H29" i="6" s="1"/>
  <c r="H30" i="6" s="1"/>
  <c r="H31" i="6" s="1"/>
  <c r="H32" i="6" s="1"/>
  <c r="H33" i="6" s="1"/>
  <c r="H34" i="6" s="1"/>
  <c r="G28" i="6"/>
  <c r="G29" i="6" s="1"/>
  <c r="G30" i="6" s="1"/>
  <c r="G31" i="6" s="1"/>
  <c r="G32" i="6" s="1"/>
  <c r="G33" i="6" s="1"/>
  <c r="G34" i="6" s="1"/>
  <c r="F29" i="6"/>
  <c r="F30" i="6" s="1"/>
  <c r="F31" i="6" s="1"/>
  <c r="F32" i="6" s="1"/>
  <c r="F33" i="6" s="1"/>
  <c r="F34" i="6" s="1"/>
  <c r="E28" i="6"/>
  <c r="D28" i="6" s="1"/>
  <c r="C28" i="6" s="1"/>
  <c r="P18" i="6"/>
  <c r="O18" i="6"/>
  <c r="O19" i="6" s="1"/>
  <c r="O20" i="6" s="1"/>
  <c r="O21" i="6" s="1"/>
  <c r="O22" i="6" s="1"/>
  <c r="O23" i="6" s="1"/>
  <c r="N18" i="6"/>
  <c r="N19" i="6" s="1"/>
  <c r="N20" i="6" s="1"/>
  <c r="N21" i="6" s="1"/>
  <c r="N22" i="6" s="1"/>
  <c r="N23" i="6" s="1"/>
  <c r="M18" i="6"/>
  <c r="M19" i="6" s="1"/>
  <c r="M20" i="6" s="1"/>
  <c r="M21" i="6" s="1"/>
  <c r="M22" i="6" s="1"/>
  <c r="M23" i="6" s="1"/>
  <c r="L18" i="6"/>
  <c r="L19" i="6" s="1"/>
  <c r="L20" i="6" s="1"/>
  <c r="L21" i="6" s="1"/>
  <c r="L22" i="6" s="1"/>
  <c r="L23" i="6" s="1"/>
  <c r="K18" i="6"/>
  <c r="K19" i="6" s="1"/>
  <c r="K20" i="6" s="1"/>
  <c r="K21" i="6" s="1"/>
  <c r="K22" i="6" s="1"/>
  <c r="K23" i="6" s="1"/>
  <c r="J18" i="6"/>
  <c r="J19" i="6" s="1"/>
  <c r="J20" i="6" s="1"/>
  <c r="J21" i="6" s="1"/>
  <c r="J22" i="6" s="1"/>
  <c r="J23" i="6" s="1"/>
  <c r="I18" i="6"/>
  <c r="I19" i="6" s="1"/>
  <c r="I20" i="6" s="1"/>
  <c r="I21" i="6" s="1"/>
  <c r="I22" i="6" s="1"/>
  <c r="I23" i="6" s="1"/>
  <c r="H18" i="6"/>
  <c r="H19" i="6" s="1"/>
  <c r="H20" i="6" s="1"/>
  <c r="H21" i="6" s="1"/>
  <c r="H22" i="6" s="1"/>
  <c r="H23" i="6" s="1"/>
  <c r="G18" i="6"/>
  <c r="G19" i="6" s="1"/>
  <c r="G20" i="6" s="1"/>
  <c r="G21" i="6" s="1"/>
  <c r="G22" i="6" s="1"/>
  <c r="G23" i="6" s="1"/>
  <c r="E17" i="6"/>
  <c r="D19" i="2"/>
  <c r="G44" i="1" l="1"/>
  <c r="J13" i="9"/>
  <c r="L100" i="9"/>
  <c r="P33" i="6"/>
  <c r="P34" i="6" s="1"/>
  <c r="P19" i="6"/>
  <c r="P20" i="6" s="1"/>
  <c r="P21" i="6" s="1"/>
  <c r="F18" i="6"/>
  <c r="F19" i="6" s="1"/>
  <c r="F20" i="6" s="1"/>
  <c r="F21" i="6" s="1"/>
  <c r="F22" i="6" s="1"/>
  <c r="F23" i="6" s="1"/>
  <c r="R29" i="9"/>
  <c r="R28" i="9"/>
  <c r="R27" i="9"/>
  <c r="S28" i="9"/>
  <c r="K28" i="9" s="1"/>
  <c r="R26" i="9"/>
  <c r="S29" i="9"/>
  <c r="K29" i="9" s="1"/>
  <c r="S26" i="9"/>
  <c r="K26" i="9" s="1"/>
  <c r="D66" i="9" s="1"/>
  <c r="D67" i="9" s="1"/>
  <c r="S27" i="9"/>
  <c r="K27" i="9" s="1"/>
  <c r="E18" i="6"/>
  <c r="E19" i="6" s="1"/>
  <c r="E20" i="6" s="1"/>
  <c r="E21" i="6" s="1"/>
  <c r="E22" i="6" s="1"/>
  <c r="E23" i="6" s="1"/>
  <c r="D17" i="6"/>
  <c r="E29" i="6"/>
  <c r="C17" i="2"/>
  <c r="C12" i="2"/>
  <c r="U152" i="5"/>
  <c r="U144" i="5"/>
  <c r="U136" i="5"/>
  <c r="U128" i="5"/>
  <c r="U113" i="5"/>
  <c r="U106" i="5"/>
  <c r="M67" i="1"/>
  <c r="E66" i="9" l="1"/>
  <c r="E67" i="9" s="1"/>
  <c r="H44" i="30"/>
  <c r="J44" i="30" s="1"/>
  <c r="G44" i="30"/>
  <c r="F45" i="30" s="1"/>
  <c r="G31" i="30"/>
  <c r="F32" i="30" s="1"/>
  <c r="H31" i="30"/>
  <c r="J31" i="30" s="1"/>
  <c r="F5" i="5"/>
  <c r="H18" i="30"/>
  <c r="J18" i="30" s="1"/>
  <c r="G18" i="30"/>
  <c r="F19" i="30" s="1"/>
  <c r="P22" i="6"/>
  <c r="P23" i="6" s="1"/>
  <c r="F66" i="9"/>
  <c r="F67" i="9" s="1"/>
  <c r="G66" i="9"/>
  <c r="G67" i="9" s="1"/>
  <c r="L29" i="9"/>
  <c r="L28" i="9"/>
  <c r="L27" i="9"/>
  <c r="D29" i="6"/>
  <c r="C29" i="6" s="1"/>
  <c r="E30" i="6"/>
  <c r="D18" i="6"/>
  <c r="D19" i="6" s="1"/>
  <c r="D20" i="6" s="1"/>
  <c r="D21" i="6" s="1"/>
  <c r="D22" i="6" s="1"/>
  <c r="D23" i="6" s="1"/>
  <c r="C17" i="6"/>
  <c r="C18" i="6" s="1"/>
  <c r="C19" i="6" s="1"/>
  <c r="C20" i="6" s="1"/>
  <c r="C21" i="6" s="1"/>
  <c r="C22" i="6" s="1"/>
  <c r="C23" i="6" s="1"/>
  <c r="C16" i="2"/>
  <c r="C18" i="2"/>
  <c r="D10" i="2"/>
  <c r="C10" i="2" s="1"/>
  <c r="D9" i="2"/>
  <c r="C9" i="2" s="1"/>
  <c r="D8" i="2"/>
  <c r="C8" i="2" s="1"/>
  <c r="D7" i="2"/>
  <c r="G19" i="30" l="1"/>
  <c r="F20" i="30" s="1"/>
  <c r="H19" i="30"/>
  <c r="J19" i="30" s="1"/>
  <c r="G32" i="30"/>
  <c r="F33" i="30" s="1"/>
  <c r="G5" i="30"/>
  <c r="F6" i="30" s="1"/>
  <c r="H5" i="30"/>
  <c r="J5" i="30" s="1"/>
  <c r="G45" i="30"/>
  <c r="F46" i="30" s="1"/>
  <c r="H45" i="30"/>
  <c r="J45" i="30" s="1"/>
  <c r="G72" i="9"/>
  <c r="G74" i="9" s="1"/>
  <c r="C71" i="9"/>
  <c r="L26" i="9"/>
  <c r="L30" i="9" s="1"/>
  <c r="D30" i="6"/>
  <c r="C30" i="6" s="1"/>
  <c r="E31" i="6"/>
  <c r="C7" i="2"/>
  <c r="H33" i="30" l="1"/>
  <c r="J33" i="30" s="1"/>
  <c r="H32" i="30"/>
  <c r="G6" i="30"/>
  <c r="F7" i="30" s="1"/>
  <c r="D31" i="6"/>
  <c r="C31" i="6" s="1"/>
  <c r="E32" i="6"/>
  <c r="G33" i="30" l="1"/>
  <c r="F34" i="30" s="1"/>
  <c r="H34" i="30" s="1"/>
  <c r="J34" i="30" s="1"/>
  <c r="H46" i="30"/>
  <c r="J46" i="30" s="1"/>
  <c r="G46" i="30"/>
  <c r="F47" i="30" s="1"/>
  <c r="H6" i="30"/>
  <c r="J6" i="30" s="1"/>
  <c r="H20" i="30"/>
  <c r="J20" i="30" s="1"/>
  <c r="J32" i="30"/>
  <c r="G20" i="30"/>
  <c r="F21" i="30" s="1"/>
  <c r="D32" i="6"/>
  <c r="C32" i="6" s="1"/>
  <c r="E33" i="6"/>
  <c r="G34" i="30" l="1"/>
  <c r="F35" i="30" s="1"/>
  <c r="H7" i="30"/>
  <c r="J7" i="30" s="1"/>
  <c r="G21" i="30"/>
  <c r="F22" i="30" s="1"/>
  <c r="G7" i="30"/>
  <c r="F8" i="30" s="1"/>
  <c r="D33" i="6"/>
  <c r="C33" i="6" s="1"/>
  <c r="E34" i="6"/>
  <c r="D34" i="6" s="1"/>
  <c r="C34" i="6" s="1"/>
  <c r="C94" i="6"/>
  <c r="C90" i="6"/>
  <c r="C82" i="6"/>
  <c r="C83" i="6"/>
  <c r="C84" i="6"/>
  <c r="C85" i="6"/>
  <c r="C86" i="6"/>
  <c r="C87" i="6"/>
  <c r="C89" i="6"/>
  <c r="C91" i="6"/>
  <c r="H47" i="30" l="1"/>
  <c r="J47" i="30" s="1"/>
  <c r="H21" i="30"/>
  <c r="J21" i="30" s="1"/>
  <c r="F23" i="30"/>
  <c r="H35" i="30"/>
  <c r="F36" i="30"/>
  <c r="G35" i="30"/>
  <c r="G47" i="30"/>
  <c r="F48" i="30" s="1"/>
  <c r="G8" i="30"/>
  <c r="F9" i="30" s="1"/>
  <c r="F10" i="30" s="1"/>
  <c r="C95" i="6"/>
  <c r="J35" i="30" l="1"/>
  <c r="J36" i="30" s="1"/>
  <c r="H36" i="30"/>
  <c r="H22" i="30"/>
  <c r="H23" i="30" s="1"/>
  <c r="C26" i="30"/>
  <c r="H8" i="30"/>
  <c r="J8" i="30" s="1"/>
  <c r="G22" i="30"/>
  <c r="C39" i="30"/>
  <c r="C96" i="6"/>
  <c r="A106" i="30" l="1"/>
  <c r="C13" i="30"/>
  <c r="A115" i="30"/>
  <c r="H9" i="30"/>
  <c r="H10" i="30" s="1"/>
  <c r="J22" i="30"/>
  <c r="J23" i="30" s="1"/>
  <c r="C40" i="30"/>
  <c r="J40" i="30" s="1"/>
  <c r="G35" i="29" s="1"/>
  <c r="G9" i="30"/>
  <c r="H48" i="30"/>
  <c r="H49" i="30" s="1"/>
  <c r="F49" i="30"/>
  <c r="C27" i="30"/>
  <c r="G48" i="30"/>
  <c r="C97" i="6"/>
  <c r="J9" i="30" l="1"/>
  <c r="J10" i="30" s="1"/>
  <c r="J27" i="30"/>
  <c r="G34" i="29" s="1"/>
  <c r="C52" i="30"/>
  <c r="J48" i="30"/>
  <c r="J49" i="30" s="1"/>
  <c r="C14" i="30"/>
  <c r="C98" i="6"/>
  <c r="C99" i="6"/>
  <c r="J14" i="30" l="1"/>
  <c r="G33" i="29" s="1"/>
  <c r="C53" i="30"/>
  <c r="J53" i="30" s="1"/>
  <c r="G36" i="29" s="1"/>
  <c r="F101" i="1"/>
  <c r="F113" i="1" s="1"/>
  <c r="O78" i="1"/>
  <c r="N69" i="1" s="1"/>
  <c r="O77" i="1"/>
  <c r="N68" i="1" s="1"/>
  <c r="O76" i="1"/>
  <c r="N67" i="1" s="1"/>
  <c r="M57" i="1"/>
  <c r="E113" i="1"/>
  <c r="N112" i="1"/>
  <c r="O112" i="1" s="1"/>
  <c r="N111" i="1"/>
  <c r="O111" i="1" s="1"/>
  <c r="N110" i="1"/>
  <c r="O110" i="1" s="1"/>
  <c r="N109" i="1"/>
  <c r="O109" i="1" s="1"/>
  <c r="N108" i="1"/>
  <c r="O108" i="1" s="1"/>
  <c r="N107" i="1"/>
  <c r="N106" i="1"/>
  <c r="O106" i="1" s="1"/>
  <c r="N105" i="1"/>
  <c r="O105" i="1" s="1"/>
  <c r="N104" i="1"/>
  <c r="O104" i="1" s="1"/>
  <c r="E88" i="1"/>
  <c r="G122" i="1" s="1"/>
  <c r="N85" i="1"/>
  <c r="N84" i="1"/>
  <c r="M78" i="1"/>
  <c r="M77" i="1"/>
  <c r="M76" i="1"/>
  <c r="M69" i="1"/>
  <c r="M68" i="1"/>
  <c r="D59" i="1"/>
  <c r="M59" i="1"/>
  <c r="D58" i="1"/>
  <c r="M58" i="1"/>
  <c r="D57" i="1"/>
  <c r="O107" i="1" l="1"/>
  <c r="N61" i="1"/>
  <c r="O61" i="1" s="1"/>
  <c r="N62" i="1"/>
  <c r="O62" i="1" s="1"/>
  <c r="N57" i="1"/>
  <c r="O57" i="1" s="1"/>
  <c r="N60" i="1"/>
  <c r="O60" i="1" s="1"/>
  <c r="F60" i="1" s="1"/>
  <c r="F115" i="1"/>
  <c r="U5" i="30"/>
  <c r="U18" i="30"/>
  <c r="U31" i="30"/>
  <c r="U44" i="30"/>
  <c r="N58" i="1"/>
  <c r="O58" i="1" s="1"/>
  <c r="N59" i="1"/>
  <c r="O59" i="1" s="1"/>
  <c r="N88" i="1"/>
  <c r="E57" i="1"/>
  <c r="E58" i="1"/>
  <c r="E59" i="1"/>
  <c r="W81" i="5" l="1"/>
  <c r="Y81" i="5" s="1"/>
  <c r="V81" i="5"/>
  <c r="U82" i="5" s="1"/>
  <c r="W94" i="5"/>
  <c r="Y94" i="5" s="1"/>
  <c r="V94" i="5"/>
  <c r="U95" i="5" s="1"/>
  <c r="F59" i="1"/>
  <c r="F57" i="1"/>
  <c r="W44" i="30"/>
  <c r="Y44" i="30" s="1"/>
  <c r="V44" i="30"/>
  <c r="U45" i="30" s="1"/>
  <c r="V31" i="30"/>
  <c r="W31" i="30"/>
  <c r="Y31" i="30" s="1"/>
  <c r="W18" i="30"/>
  <c r="Y18" i="30" s="1"/>
  <c r="V18" i="30"/>
  <c r="V5" i="30"/>
  <c r="W5" i="30"/>
  <c r="Y5" i="30" s="1"/>
  <c r="F58" i="1"/>
  <c r="V95" i="5" l="1"/>
  <c r="U96" i="5" s="1"/>
  <c r="V82" i="5"/>
  <c r="U83" i="5" s="1"/>
  <c r="U32" i="30"/>
  <c r="V32" i="30" s="1"/>
  <c r="U6" i="30"/>
  <c r="V6" i="30" s="1"/>
  <c r="U19" i="30"/>
  <c r="V45" i="30"/>
  <c r="W45" i="30"/>
  <c r="Y45" i="30" s="1"/>
  <c r="F63" i="1"/>
  <c r="E92" i="1" s="1"/>
  <c r="F96" i="1" s="1"/>
  <c r="C78" i="6"/>
  <c r="C79" i="6"/>
  <c r="E80" i="6"/>
  <c r="G81" i="6"/>
  <c r="H81" i="6"/>
  <c r="I81" i="6"/>
  <c r="F83" i="6"/>
  <c r="H93" i="6"/>
  <c r="I93" i="6"/>
  <c r="J93" i="6"/>
  <c r="K93" i="6"/>
  <c r="H95" i="6"/>
  <c r="J52" i="6"/>
  <c r="J53" i="6"/>
  <c r="D77" i="6"/>
  <c r="E77" i="6"/>
  <c r="F77" i="6"/>
  <c r="G77" i="6"/>
  <c r="H77" i="6"/>
  <c r="I77" i="6"/>
  <c r="J77" i="6"/>
  <c r="K77" i="6"/>
  <c r="D78" i="6"/>
  <c r="E78" i="6"/>
  <c r="F78" i="6"/>
  <c r="G78" i="6"/>
  <c r="H78" i="6"/>
  <c r="I78" i="6"/>
  <c r="J78" i="6"/>
  <c r="K78" i="6"/>
  <c r="D79" i="6"/>
  <c r="E79" i="6"/>
  <c r="F79" i="6"/>
  <c r="G79" i="6"/>
  <c r="H79" i="6"/>
  <c r="I79" i="6"/>
  <c r="J79" i="6"/>
  <c r="K79" i="6"/>
  <c r="F80" i="6"/>
  <c r="G80" i="6"/>
  <c r="H80" i="6"/>
  <c r="I80" i="6"/>
  <c r="J80" i="6"/>
  <c r="K80" i="6"/>
  <c r="K81" i="6"/>
  <c r="F82" i="6"/>
  <c r="K82" i="6"/>
  <c r="D89" i="6"/>
  <c r="E89" i="6"/>
  <c r="F89" i="6"/>
  <c r="G89" i="6"/>
  <c r="H89" i="6"/>
  <c r="I89" i="6"/>
  <c r="J89" i="6"/>
  <c r="K89" i="6"/>
  <c r="D90" i="6"/>
  <c r="E90" i="6"/>
  <c r="F90" i="6"/>
  <c r="G90" i="6"/>
  <c r="H90" i="6"/>
  <c r="I90" i="6"/>
  <c r="J90" i="6"/>
  <c r="K90" i="6"/>
  <c r="D91" i="6"/>
  <c r="E91" i="6"/>
  <c r="F91" i="6"/>
  <c r="G91" i="6"/>
  <c r="H91" i="6"/>
  <c r="I91" i="6"/>
  <c r="J91" i="6"/>
  <c r="K91" i="6"/>
  <c r="E92" i="6"/>
  <c r="F92" i="6"/>
  <c r="G92" i="6"/>
  <c r="H92" i="6"/>
  <c r="I92" i="6"/>
  <c r="J92" i="6"/>
  <c r="K92" i="6"/>
  <c r="E93" i="6"/>
  <c r="F93" i="6"/>
  <c r="G93" i="6"/>
  <c r="E94" i="6"/>
  <c r="G94" i="6"/>
  <c r="H94" i="6"/>
  <c r="I94" i="6"/>
  <c r="G95" i="6"/>
  <c r="I95" i="6"/>
  <c r="I96" i="6"/>
  <c r="C5" i="5"/>
  <c r="R5" i="5" s="1"/>
  <c r="AG5" i="5" s="1"/>
  <c r="AG18" i="5" s="1"/>
  <c r="AG31" i="5" s="1"/>
  <c r="AG44" i="5" s="1"/>
  <c r="P5" i="5"/>
  <c r="AE5" i="5" s="1"/>
  <c r="AE18" i="5" s="1"/>
  <c r="AE31" i="5" s="1"/>
  <c r="AE44" i="5" s="1"/>
  <c r="Q5" i="5"/>
  <c r="S5" i="5"/>
  <c r="AH5" i="5" s="1"/>
  <c r="AH18" i="5" s="1"/>
  <c r="AH31" i="5" s="1"/>
  <c r="AH44" i="5" s="1"/>
  <c r="AT5" i="5"/>
  <c r="AU5" i="5"/>
  <c r="AW5" i="5"/>
  <c r="AW18" i="5" s="1"/>
  <c r="AZ5" i="5"/>
  <c r="AV6" i="5"/>
  <c r="P6" i="5"/>
  <c r="AE6" i="5" s="1"/>
  <c r="Q6" i="5"/>
  <c r="AF6" i="5" s="1"/>
  <c r="AF19" i="5" s="1"/>
  <c r="AF32" i="5" s="1"/>
  <c r="AF45" i="5" s="1"/>
  <c r="S6" i="5"/>
  <c r="AH6" i="5" s="1"/>
  <c r="AH19" i="5" s="1"/>
  <c r="AH32" i="5" s="1"/>
  <c r="AH45" i="5" s="1"/>
  <c r="AG19" i="5"/>
  <c r="AG32" i="5" s="1"/>
  <c r="AT6" i="5"/>
  <c r="AT19" i="5" s="1"/>
  <c r="AU6" i="5"/>
  <c r="AU19" i="5" s="1"/>
  <c r="AW6" i="5"/>
  <c r="AW19" i="5" s="1"/>
  <c r="AV7" i="5"/>
  <c r="AV46" i="5" s="1"/>
  <c r="P7" i="5"/>
  <c r="AE7" i="5" s="1"/>
  <c r="Q7" i="5"/>
  <c r="AF7" i="5" s="1"/>
  <c r="AF20" i="5" s="1"/>
  <c r="AF33" i="5" s="1"/>
  <c r="AF46" i="5" s="1"/>
  <c r="S7" i="5"/>
  <c r="AH7" i="5" s="1"/>
  <c r="AT7" i="5"/>
  <c r="AT46" i="5" s="1"/>
  <c r="AU7" i="5"/>
  <c r="AU46" i="5" s="1"/>
  <c r="AW7" i="5"/>
  <c r="AW46" i="5" s="1"/>
  <c r="P8" i="5"/>
  <c r="AE8" i="5" s="1"/>
  <c r="AE21" i="5" s="1"/>
  <c r="AE34" i="5" s="1"/>
  <c r="AE47" i="5" s="1"/>
  <c r="Q8" i="5"/>
  <c r="AF8" i="5" s="1"/>
  <c r="S8" i="5"/>
  <c r="AH8" i="5" s="1"/>
  <c r="AT8" i="5"/>
  <c r="AU8" i="5"/>
  <c r="AU34" i="5" s="1"/>
  <c r="AW8" i="5"/>
  <c r="P9" i="5"/>
  <c r="AE9" i="5" s="1"/>
  <c r="AE22" i="5" s="1"/>
  <c r="AE35" i="5" s="1"/>
  <c r="AE48" i="5" s="1"/>
  <c r="Q9" i="5"/>
  <c r="AF9" i="5" s="1"/>
  <c r="AF22" i="5" s="1"/>
  <c r="AF35" i="5" s="1"/>
  <c r="AF48" i="5" s="1"/>
  <c r="S9" i="5"/>
  <c r="AH9" i="5" s="1"/>
  <c r="AH22" i="5" s="1"/>
  <c r="AH35" i="5" s="1"/>
  <c r="AH48" i="5" s="1"/>
  <c r="AT9" i="5"/>
  <c r="AT22" i="5" s="1"/>
  <c r="AU9" i="5"/>
  <c r="AW9" i="5"/>
  <c r="AG14" i="5"/>
  <c r="A18" i="5"/>
  <c r="B18" i="5"/>
  <c r="D18" i="5"/>
  <c r="S18" i="5" s="1"/>
  <c r="P18" i="5"/>
  <c r="AT18" i="5"/>
  <c r="AU18" i="5"/>
  <c r="AZ18" i="5"/>
  <c r="A19" i="5"/>
  <c r="B19" i="5"/>
  <c r="Q19" i="5" s="1"/>
  <c r="D19" i="5"/>
  <c r="D32" i="5" s="1"/>
  <c r="P19" i="5"/>
  <c r="AE19" i="5"/>
  <c r="A20" i="5"/>
  <c r="P20" i="5" s="1"/>
  <c r="B20" i="5"/>
  <c r="Q20" i="5" s="1"/>
  <c r="D20" i="5"/>
  <c r="S20" i="5" s="1"/>
  <c r="AE20" i="5"/>
  <c r="AH20" i="5"/>
  <c r="A21" i="5"/>
  <c r="P21" i="5" s="1"/>
  <c r="B21" i="5"/>
  <c r="Q21" i="5" s="1"/>
  <c r="D21" i="5"/>
  <c r="D34" i="5" s="1"/>
  <c r="S21" i="5"/>
  <c r="AF21" i="5"/>
  <c r="AF34" i="5" s="1"/>
  <c r="AF47" i="5" s="1"/>
  <c r="AH21" i="5"/>
  <c r="AH34" i="5" s="1"/>
  <c r="AH47" i="5" s="1"/>
  <c r="AU21" i="5"/>
  <c r="AW21" i="5"/>
  <c r="A22" i="5"/>
  <c r="P22" i="5" s="1"/>
  <c r="B22" i="5"/>
  <c r="D22" i="5"/>
  <c r="S22" i="5" s="1"/>
  <c r="Q22" i="5"/>
  <c r="AU22" i="5"/>
  <c r="AW22" i="5"/>
  <c r="AG27" i="5"/>
  <c r="A31" i="5"/>
  <c r="P31" i="5" s="1"/>
  <c r="D31" i="5"/>
  <c r="S31" i="5" s="1"/>
  <c r="AT31" i="5"/>
  <c r="AU31" i="5"/>
  <c r="A32" i="5"/>
  <c r="P32" i="5" s="1"/>
  <c r="AE32" i="5"/>
  <c r="AE45" i="5" s="1"/>
  <c r="AT32" i="5"/>
  <c r="AE33" i="5"/>
  <c r="AE46" i="5" s="1"/>
  <c r="AH33" i="5"/>
  <c r="AH46" i="5" s="1"/>
  <c r="B34" i="5"/>
  <c r="Q34" i="5" s="1"/>
  <c r="AW34" i="5"/>
  <c r="A35" i="5"/>
  <c r="P35" i="5" s="1"/>
  <c r="B35" i="5"/>
  <c r="B48" i="5" s="1"/>
  <c r="Q48" i="5" s="1"/>
  <c r="Q35" i="5"/>
  <c r="AT35" i="5"/>
  <c r="AU35" i="5"/>
  <c r="AW35" i="5"/>
  <c r="AG40" i="5"/>
  <c r="A44" i="5"/>
  <c r="P44" i="5" s="1"/>
  <c r="AT44" i="5"/>
  <c r="AU44" i="5"/>
  <c r="A45" i="5"/>
  <c r="P45" i="5"/>
  <c r="AG45" i="5"/>
  <c r="AT45" i="5"/>
  <c r="AT47" i="5"/>
  <c r="AU47" i="5"/>
  <c r="AW47" i="5"/>
  <c r="A48" i="5"/>
  <c r="P48" i="5" s="1"/>
  <c r="AT48" i="5"/>
  <c r="AU48" i="5"/>
  <c r="AW48" i="5"/>
  <c r="AG53" i="5"/>
  <c r="C57" i="5"/>
  <c r="H57" i="5"/>
  <c r="H62" i="5" s="1"/>
  <c r="R57" i="5"/>
  <c r="V57" i="5"/>
  <c r="U58" i="5" s="1"/>
  <c r="W57" i="5"/>
  <c r="W62" i="5" s="1"/>
  <c r="AG57" i="5"/>
  <c r="AL57" i="5"/>
  <c r="AL62" i="5" s="1"/>
  <c r="AV57" i="5"/>
  <c r="AZ57" i="5"/>
  <c r="AY58" i="5" s="1"/>
  <c r="C58" i="5"/>
  <c r="R58" i="5"/>
  <c r="AG58" i="5"/>
  <c r="AV58" i="5"/>
  <c r="C59" i="5"/>
  <c r="R59" i="5"/>
  <c r="AG59" i="5"/>
  <c r="AV59" i="5"/>
  <c r="C60" i="5"/>
  <c r="R60" i="5"/>
  <c r="AG60" i="5"/>
  <c r="AV60" i="5"/>
  <c r="C61" i="5"/>
  <c r="R61" i="5"/>
  <c r="AG61" i="5"/>
  <c r="AV61" i="5"/>
  <c r="C68" i="5"/>
  <c r="H68" i="5"/>
  <c r="H73" i="5" s="1"/>
  <c r="R68" i="5"/>
  <c r="V68" i="5"/>
  <c r="U69" i="5" s="1"/>
  <c r="AG68" i="5"/>
  <c r="AL68" i="5"/>
  <c r="AL73" i="5" s="1"/>
  <c r="AV68" i="5"/>
  <c r="AZ68" i="5"/>
  <c r="AY69" i="5" s="1"/>
  <c r="C69" i="5"/>
  <c r="R69" i="5"/>
  <c r="AG69" i="5"/>
  <c r="AV69" i="5"/>
  <c r="C70" i="5"/>
  <c r="R70" i="5"/>
  <c r="AG70" i="5"/>
  <c r="AV70" i="5"/>
  <c r="C71" i="5"/>
  <c r="R71" i="5"/>
  <c r="AG71" i="5"/>
  <c r="AV71" i="5"/>
  <c r="C72" i="5"/>
  <c r="R72" i="5"/>
  <c r="AG72" i="5"/>
  <c r="AV72" i="5"/>
  <c r="F81" i="5"/>
  <c r="S106" i="5"/>
  <c r="U107" i="5"/>
  <c r="AL80" i="5"/>
  <c r="AL81" i="5" s="1"/>
  <c r="D87" i="5"/>
  <c r="S113" i="5" s="1"/>
  <c r="G87" i="5"/>
  <c r="V113" i="5"/>
  <c r="AH87" i="5"/>
  <c r="AK87" i="5"/>
  <c r="R128" i="5"/>
  <c r="V128" i="5"/>
  <c r="U129" i="5" s="1"/>
  <c r="R129" i="5"/>
  <c r="R136" i="5"/>
  <c r="S136" i="5"/>
  <c r="V136" i="5"/>
  <c r="U137" i="5" s="1"/>
  <c r="R137" i="5"/>
  <c r="S137" i="5"/>
  <c r="R144" i="5"/>
  <c r="S144" i="5"/>
  <c r="V144" i="5"/>
  <c r="U145" i="5" s="1"/>
  <c r="R145" i="5"/>
  <c r="S145" i="5"/>
  <c r="R152" i="5"/>
  <c r="S152" i="5"/>
  <c r="V152" i="5"/>
  <c r="U153" i="5" s="1"/>
  <c r="R153" i="5"/>
  <c r="S153" i="5"/>
  <c r="B47" i="5" l="1"/>
  <c r="Q47" i="5" s="1"/>
  <c r="AU33" i="5"/>
  <c r="V83" i="5"/>
  <c r="U84" i="5" s="1"/>
  <c r="W82" i="5"/>
  <c r="Y82" i="5" s="1"/>
  <c r="V96" i="5"/>
  <c r="U97" i="5" s="1"/>
  <c r="W95" i="5"/>
  <c r="Y95" i="5" s="1"/>
  <c r="AV5" i="5"/>
  <c r="B32" i="5"/>
  <c r="Q32" i="5" s="1"/>
  <c r="D35" i="5"/>
  <c r="D33" i="5"/>
  <c r="D46" i="5" s="1"/>
  <c r="S46" i="5" s="1"/>
  <c r="AU20" i="5"/>
  <c r="AW32" i="5"/>
  <c r="AW45" i="5"/>
  <c r="D45" i="5"/>
  <c r="S45" i="5" s="1"/>
  <c r="S32" i="5"/>
  <c r="AW33" i="5"/>
  <c r="AW20" i="5"/>
  <c r="B31" i="5"/>
  <c r="F31" i="5" s="1"/>
  <c r="G31" i="5" s="1"/>
  <c r="F32" i="5" s="1"/>
  <c r="F18" i="5"/>
  <c r="G18" i="5" s="1"/>
  <c r="F19" i="5" s="1"/>
  <c r="G19" i="5" s="1"/>
  <c r="AU45" i="5"/>
  <c r="AW44" i="5"/>
  <c r="AW31" i="5"/>
  <c r="BA31" i="5" s="1"/>
  <c r="BC31" i="5" s="1"/>
  <c r="A34" i="5"/>
  <c r="S19" i="5"/>
  <c r="Q18" i="5"/>
  <c r="U18" i="5" s="1"/>
  <c r="V18" i="5" s="1"/>
  <c r="U19" i="5" s="1"/>
  <c r="S33" i="5"/>
  <c r="AF5" i="5"/>
  <c r="U5" i="5"/>
  <c r="U7" i="30"/>
  <c r="U46" i="30"/>
  <c r="V46" i="30" s="1"/>
  <c r="W19" i="30"/>
  <c r="Y19" i="30" s="1"/>
  <c r="V19" i="30"/>
  <c r="W6" i="30"/>
  <c r="Y6" i="30" s="1"/>
  <c r="U33" i="30"/>
  <c r="W32" i="30"/>
  <c r="Y32" i="30" s="1"/>
  <c r="W137" i="5"/>
  <c r="Y137" i="5" s="1"/>
  <c r="D93" i="6"/>
  <c r="C93" i="6"/>
  <c r="D92" i="6"/>
  <c r="C92" i="6"/>
  <c r="F81" i="6"/>
  <c r="U62" i="5"/>
  <c r="P63" i="5" s="1"/>
  <c r="AK57" i="5"/>
  <c r="W106" i="5"/>
  <c r="W107" i="5" s="1"/>
  <c r="W113" i="5"/>
  <c r="W114" i="5" s="1"/>
  <c r="V106" i="5"/>
  <c r="W145" i="5"/>
  <c r="W128" i="5"/>
  <c r="Y128" i="5" s="1"/>
  <c r="U73" i="5"/>
  <c r="P74" i="5" s="1"/>
  <c r="Y57" i="5"/>
  <c r="Y62" i="5" s="1"/>
  <c r="W152" i="5"/>
  <c r="Y152" i="5" s="1"/>
  <c r="W144" i="5"/>
  <c r="Y144" i="5" s="1"/>
  <c r="U114" i="5"/>
  <c r="W136" i="5"/>
  <c r="Y136" i="5" s="1"/>
  <c r="W68" i="5"/>
  <c r="W73" i="5" s="1"/>
  <c r="U130" i="5"/>
  <c r="W153" i="5"/>
  <c r="V137" i="5"/>
  <c r="F88" i="5"/>
  <c r="G80" i="5"/>
  <c r="BA5" i="5"/>
  <c r="BC5" i="5" s="1"/>
  <c r="AK68" i="5"/>
  <c r="K94" i="6"/>
  <c r="G96" i="6"/>
  <c r="F95" i="6"/>
  <c r="J94" i="6"/>
  <c r="K83" i="6"/>
  <c r="J82" i="6"/>
  <c r="E95" i="6"/>
  <c r="I82" i="6"/>
  <c r="C81" i="6"/>
  <c r="E81" i="6"/>
  <c r="H82" i="6"/>
  <c r="I97" i="6"/>
  <c r="G82" i="6"/>
  <c r="F94" i="6"/>
  <c r="J81" i="6"/>
  <c r="C80" i="6"/>
  <c r="B33" i="5"/>
  <c r="AV33" i="5"/>
  <c r="A33" i="5"/>
  <c r="AV20" i="5"/>
  <c r="AV45" i="5"/>
  <c r="AV19" i="5"/>
  <c r="AV32" i="5"/>
  <c r="AU32" i="5"/>
  <c r="AZ6" i="5"/>
  <c r="AZ7" i="5" s="1"/>
  <c r="C19" i="5"/>
  <c r="BA19" i="5"/>
  <c r="BC19" i="5" s="1"/>
  <c r="AZ19" i="5"/>
  <c r="BA69" i="5"/>
  <c r="BC69" i="5" s="1"/>
  <c r="V69" i="5"/>
  <c r="U70" i="5" s="1"/>
  <c r="W69" i="5"/>
  <c r="Y69" i="5" s="1"/>
  <c r="V58" i="5"/>
  <c r="U59" i="5" s="1"/>
  <c r="W58" i="5"/>
  <c r="Y58" i="5" s="1"/>
  <c r="BA58" i="5"/>
  <c r="BC58" i="5" s="1"/>
  <c r="H87" i="5"/>
  <c r="H88" i="5" s="1"/>
  <c r="F73" i="5"/>
  <c r="A74" i="5" s="1"/>
  <c r="AJ81" i="5"/>
  <c r="AK80" i="5"/>
  <c r="H80" i="5"/>
  <c r="H81" i="5" s="1"/>
  <c r="AJ73" i="5"/>
  <c r="AE74" i="5" s="1"/>
  <c r="BA68" i="5"/>
  <c r="BA73" i="5" s="1"/>
  <c r="G68" i="5"/>
  <c r="F69" i="5" s="1"/>
  <c r="AJ62" i="5"/>
  <c r="AE63" i="5" s="1"/>
  <c r="BA57" i="5"/>
  <c r="BA62" i="5" s="1"/>
  <c r="G57" i="5"/>
  <c r="F58" i="5" s="1"/>
  <c r="BA18" i="5"/>
  <c r="BC18" i="5" s="1"/>
  <c r="AZ44" i="5"/>
  <c r="BA44" i="5"/>
  <c r="Q31" i="5"/>
  <c r="B44" i="5"/>
  <c r="F44" i="5" s="1"/>
  <c r="C22" i="5"/>
  <c r="AV9" i="5"/>
  <c r="R9" i="5"/>
  <c r="AG9" i="5" s="1"/>
  <c r="AG22" i="5" s="1"/>
  <c r="AG35" i="5" s="1"/>
  <c r="AG48" i="5" s="1"/>
  <c r="AV8" i="5"/>
  <c r="R8" i="5"/>
  <c r="AG8" i="5" s="1"/>
  <c r="AG21" i="5" s="1"/>
  <c r="AG34" i="5" s="1"/>
  <c r="AG47" i="5" s="1"/>
  <c r="AJ88" i="5"/>
  <c r="AL87" i="5"/>
  <c r="AL88" i="5" s="1"/>
  <c r="AN68" i="5"/>
  <c r="AN73" i="5" s="1"/>
  <c r="AN57" i="5"/>
  <c r="AN62" i="5" s="1"/>
  <c r="D44" i="5"/>
  <c r="S44" i="5" s="1"/>
  <c r="AZ31" i="5"/>
  <c r="S34" i="5"/>
  <c r="D47" i="5"/>
  <c r="S47" i="5" s="1"/>
  <c r="AY73" i="5"/>
  <c r="AT74" i="5" s="1"/>
  <c r="AZ69" i="5"/>
  <c r="AY70" i="5" s="1"/>
  <c r="AY62" i="5"/>
  <c r="AT63" i="5" s="1"/>
  <c r="AZ58" i="5"/>
  <c r="AY59" i="5" s="1"/>
  <c r="C21" i="5"/>
  <c r="AT21" i="5"/>
  <c r="AT34" i="5"/>
  <c r="AT20" i="5"/>
  <c r="AT33" i="5"/>
  <c r="BA6" i="5"/>
  <c r="BC6" i="5" s="1"/>
  <c r="AN80" i="5"/>
  <c r="AN81" i="5" s="1"/>
  <c r="AN83" i="5" s="1"/>
  <c r="F62" i="5"/>
  <c r="A63" i="5" s="1"/>
  <c r="J57" i="5"/>
  <c r="J62" i="5" s="1"/>
  <c r="J68" i="5"/>
  <c r="J73" i="5" s="1"/>
  <c r="G5" i="5"/>
  <c r="F6" i="5" s="1"/>
  <c r="H5" i="5"/>
  <c r="J5" i="5" s="1"/>
  <c r="C20" i="5"/>
  <c r="C18" i="5"/>
  <c r="R7" i="5"/>
  <c r="AG7" i="5" s="1"/>
  <c r="AG20" i="5" s="1"/>
  <c r="AG33" i="5" s="1"/>
  <c r="AG46" i="5" s="1"/>
  <c r="W19" i="5" l="1"/>
  <c r="Y19" i="5" s="1"/>
  <c r="H31" i="5"/>
  <c r="J31" i="5" s="1"/>
  <c r="W18" i="5"/>
  <c r="Y18" i="5" s="1"/>
  <c r="V97" i="5"/>
  <c r="V84" i="5"/>
  <c r="W96" i="5"/>
  <c r="Y96" i="5" s="1"/>
  <c r="W83" i="5"/>
  <c r="Y83" i="5" s="1"/>
  <c r="V19" i="5"/>
  <c r="U20" i="5" s="1"/>
  <c r="B45" i="5"/>
  <c r="Q45" i="5" s="1"/>
  <c r="S35" i="5"/>
  <c r="D48" i="5"/>
  <c r="S48" i="5" s="1"/>
  <c r="AV18" i="5"/>
  <c r="AV31" i="5"/>
  <c r="AV44" i="5"/>
  <c r="AJ5" i="5"/>
  <c r="AF18" i="5"/>
  <c r="P34" i="5"/>
  <c r="A47" i="5"/>
  <c r="P47" i="5" s="1"/>
  <c r="H18" i="5"/>
  <c r="J18" i="5" s="1"/>
  <c r="U47" i="30"/>
  <c r="V47" i="30" s="1"/>
  <c r="U48" i="30" s="1"/>
  <c r="U49" i="30" s="1"/>
  <c r="U20" i="30"/>
  <c r="W33" i="30"/>
  <c r="Y33" i="30" s="1"/>
  <c r="AA33" i="30"/>
  <c r="V33" i="30"/>
  <c r="AA46" i="30"/>
  <c r="W46" i="30"/>
  <c r="Y46" i="30" s="1"/>
  <c r="AA7" i="30"/>
  <c r="W7" i="30"/>
  <c r="Y7" i="30" s="1"/>
  <c r="V7" i="30"/>
  <c r="AJ69" i="5"/>
  <c r="AL69" i="5" s="1"/>
  <c r="AN69" i="5" s="1"/>
  <c r="AJ58" i="5"/>
  <c r="AL58" i="5" s="1"/>
  <c r="AN58" i="5" s="1"/>
  <c r="Y64" i="5"/>
  <c r="H19" i="5"/>
  <c r="J19" i="5" s="1"/>
  <c r="F20" i="5"/>
  <c r="H20" i="5" s="1"/>
  <c r="J20" i="5" s="1"/>
  <c r="U138" i="5"/>
  <c r="W138" i="5"/>
  <c r="Y68" i="5"/>
  <c r="Y73" i="5" s="1"/>
  <c r="Y75" i="5" s="1"/>
  <c r="Y145" i="5"/>
  <c r="Y146" i="5" s="1"/>
  <c r="Y148" i="5" s="1"/>
  <c r="Y106" i="5"/>
  <c r="Y107" i="5" s="1"/>
  <c r="Y109" i="5" s="1"/>
  <c r="F84" i="1" s="1"/>
  <c r="W129" i="5"/>
  <c r="W130" i="5" s="1"/>
  <c r="U146" i="5"/>
  <c r="Y113" i="5"/>
  <c r="Y114" i="5" s="1"/>
  <c r="Y116" i="5" s="1"/>
  <c r="BC57" i="5"/>
  <c r="BC62" i="5" s="1"/>
  <c r="BC64" i="5" s="1"/>
  <c r="V129" i="5"/>
  <c r="V145" i="5"/>
  <c r="Y138" i="5"/>
  <c r="Y140" i="5" s="1"/>
  <c r="W146" i="5"/>
  <c r="J64" i="5"/>
  <c r="AN75" i="5"/>
  <c r="W154" i="5"/>
  <c r="AN64" i="5"/>
  <c r="Y153" i="5"/>
  <c r="Y154" i="5" s="1"/>
  <c r="Y156" i="5" s="1"/>
  <c r="V153" i="5"/>
  <c r="U154" i="5"/>
  <c r="F84" i="6"/>
  <c r="G83" i="6"/>
  <c r="K95" i="6"/>
  <c r="D94" i="6"/>
  <c r="I83" i="6"/>
  <c r="K84" i="6"/>
  <c r="I99" i="6"/>
  <c r="I98" i="6"/>
  <c r="D95" i="6"/>
  <c r="H83" i="6"/>
  <c r="E96" i="6"/>
  <c r="D81" i="6"/>
  <c r="E82" i="6"/>
  <c r="H96" i="6"/>
  <c r="J95" i="6"/>
  <c r="D80" i="6"/>
  <c r="F96" i="6"/>
  <c r="J83" i="6"/>
  <c r="G97" i="6"/>
  <c r="Q33" i="5"/>
  <c r="B46" i="5"/>
  <c r="Q46" i="5" s="1"/>
  <c r="A46" i="5"/>
  <c r="P46" i="5" s="1"/>
  <c r="P33" i="5"/>
  <c r="R19" i="5"/>
  <c r="C32" i="5"/>
  <c r="BC44" i="5"/>
  <c r="AZ45" i="5"/>
  <c r="C34" i="5"/>
  <c r="R21" i="5"/>
  <c r="AZ8" i="5"/>
  <c r="AV22" i="5"/>
  <c r="AV35" i="5"/>
  <c r="AV48" i="5"/>
  <c r="AZ59" i="5"/>
  <c r="AY60" i="5" s="1"/>
  <c r="BA7" i="5"/>
  <c r="BC7" i="5" s="1"/>
  <c r="R22" i="5"/>
  <c r="C35" i="5"/>
  <c r="R20" i="5"/>
  <c r="C33" i="5"/>
  <c r="G69" i="5"/>
  <c r="F70" i="5" s="1"/>
  <c r="V70" i="5"/>
  <c r="U71" i="5" s="1"/>
  <c r="AZ32" i="5"/>
  <c r="G58" i="5"/>
  <c r="F59" i="5" s="1"/>
  <c r="J80" i="5"/>
  <c r="J81" i="5" s="1"/>
  <c r="J83" i="5" s="1"/>
  <c r="V59" i="5"/>
  <c r="U60" i="5" s="1"/>
  <c r="AV21" i="5"/>
  <c r="AV34" i="5"/>
  <c r="AV47" i="5"/>
  <c r="Q44" i="5"/>
  <c r="AZ20" i="5"/>
  <c r="G6" i="5"/>
  <c r="F7" i="5" s="1"/>
  <c r="AN87" i="5"/>
  <c r="AN88" i="5" s="1"/>
  <c r="AN90" i="5" s="1"/>
  <c r="J75" i="5"/>
  <c r="J87" i="5"/>
  <c r="J88" i="5" s="1"/>
  <c r="J90" i="5" s="1"/>
  <c r="BC68" i="5"/>
  <c r="BC73" i="5" s="1"/>
  <c r="BC75" i="5" s="1"/>
  <c r="R18" i="5"/>
  <c r="C31" i="5"/>
  <c r="C19" i="2"/>
  <c r="V20" i="5" l="1"/>
  <c r="U21" i="5" s="1"/>
  <c r="V21" i="5" s="1"/>
  <c r="U22" i="5" s="1"/>
  <c r="W97" i="5"/>
  <c r="W98" i="5" s="1"/>
  <c r="U98" i="5"/>
  <c r="R101" i="5" s="1"/>
  <c r="W84" i="5"/>
  <c r="W85" i="5" s="1"/>
  <c r="U85" i="5"/>
  <c r="R88" i="5" s="1"/>
  <c r="V44" i="5"/>
  <c r="U45" i="5" s="1"/>
  <c r="W44" i="5"/>
  <c r="Y44" i="5" s="1"/>
  <c r="F85" i="1"/>
  <c r="F86" i="1" s="1"/>
  <c r="AJ18" i="5"/>
  <c r="AF31" i="5"/>
  <c r="AK5" i="5"/>
  <c r="AL5" i="5"/>
  <c r="AN5" i="5" s="1"/>
  <c r="U34" i="30"/>
  <c r="V34" i="30" s="1"/>
  <c r="U8" i="30"/>
  <c r="V8" i="30" s="1"/>
  <c r="W20" i="30"/>
  <c r="Y20" i="30" s="1"/>
  <c r="AA20" i="30"/>
  <c r="R52" i="30"/>
  <c r="V20" i="30"/>
  <c r="V48" i="30"/>
  <c r="AA48" i="30"/>
  <c r="W48" i="30"/>
  <c r="W47" i="30"/>
  <c r="Y47" i="30" s="1"/>
  <c r="AC47" i="30"/>
  <c r="AB47" i="30"/>
  <c r="G48" i="9"/>
  <c r="G47" i="9"/>
  <c r="AK69" i="5"/>
  <c r="AJ70" i="5" s="1"/>
  <c r="AL70" i="5" s="1"/>
  <c r="AN70" i="5" s="1"/>
  <c r="AK58" i="5"/>
  <c r="G20" i="5"/>
  <c r="Y129" i="5"/>
  <c r="Y130" i="5" s="1"/>
  <c r="Y132" i="5" s="1"/>
  <c r="F97" i="6"/>
  <c r="H84" i="6"/>
  <c r="I84" i="6"/>
  <c r="F85" i="6"/>
  <c r="D82" i="6"/>
  <c r="K85" i="6"/>
  <c r="E97" i="6"/>
  <c r="E83" i="6"/>
  <c r="G98" i="6"/>
  <c r="G99" i="6"/>
  <c r="K96" i="6"/>
  <c r="J96" i="6"/>
  <c r="J84" i="6"/>
  <c r="H97" i="6"/>
  <c r="D96" i="6"/>
  <c r="G84" i="6"/>
  <c r="R32" i="5"/>
  <c r="C45" i="5"/>
  <c r="R45" i="5" s="1"/>
  <c r="AZ46" i="5"/>
  <c r="V60" i="5"/>
  <c r="U61" i="5" s="1"/>
  <c r="G70" i="5"/>
  <c r="F71" i="5" s="1"/>
  <c r="AZ21" i="5"/>
  <c r="C47" i="5"/>
  <c r="R47" i="5" s="1"/>
  <c r="R34" i="5"/>
  <c r="R35" i="5"/>
  <c r="C48" i="5"/>
  <c r="R48" i="5" s="1"/>
  <c r="H6" i="5"/>
  <c r="J6" i="5" s="1"/>
  <c r="AZ33" i="5"/>
  <c r="G7" i="5"/>
  <c r="F8" i="5" s="1"/>
  <c r="BA45" i="5"/>
  <c r="BC45" i="5" s="1"/>
  <c r="H32" i="5"/>
  <c r="J32" i="5" s="1"/>
  <c r="H58" i="5"/>
  <c r="J58" i="5" s="1"/>
  <c r="R33" i="5"/>
  <c r="C46" i="5"/>
  <c r="R46" i="5" s="1"/>
  <c r="BA70" i="5"/>
  <c r="BC70" i="5" s="1"/>
  <c r="W20" i="5"/>
  <c r="Y20" i="5" s="1"/>
  <c r="AA20" i="5"/>
  <c r="BA59" i="5"/>
  <c r="BC59" i="5" s="1"/>
  <c r="BA8" i="5"/>
  <c r="BC8" i="5" s="1"/>
  <c r="V71" i="5"/>
  <c r="U72" i="5" s="1"/>
  <c r="W70" i="5"/>
  <c r="Y70" i="5" s="1"/>
  <c r="BA20" i="5"/>
  <c r="BC20" i="5" s="1"/>
  <c r="W59" i="5"/>
  <c r="Y59" i="5" s="1"/>
  <c r="H69" i="5"/>
  <c r="J69" i="5" s="1"/>
  <c r="G32" i="5"/>
  <c r="F33" i="5" s="1"/>
  <c r="AZ60" i="5"/>
  <c r="AY61" i="5" s="1"/>
  <c r="G44" i="5"/>
  <c r="F45" i="5" s="1"/>
  <c r="H44" i="5"/>
  <c r="J44" i="5" s="1"/>
  <c r="R31" i="5"/>
  <c r="U31" i="5" s="1"/>
  <c r="C44" i="5"/>
  <c r="R44" i="5" s="1"/>
  <c r="AZ70" i="5"/>
  <c r="AY71" i="5" s="1"/>
  <c r="BA32" i="5"/>
  <c r="D18" i="2"/>
  <c r="AA47" i="30" l="1"/>
  <c r="AA49" i="30" s="1"/>
  <c r="Y97" i="5"/>
  <c r="Y98" i="5" s="1"/>
  <c r="Y84" i="5"/>
  <c r="Y85" i="5" s="1"/>
  <c r="V31" i="5"/>
  <c r="W31" i="5"/>
  <c r="Y31" i="5" s="1"/>
  <c r="V45" i="5"/>
  <c r="U46" i="5" s="1"/>
  <c r="AJ6" i="5"/>
  <c r="AL6" i="5" s="1"/>
  <c r="AN6" i="5" s="1"/>
  <c r="AK6" i="5"/>
  <c r="AJ31" i="5"/>
  <c r="AF44" i="5"/>
  <c r="AJ44" i="5" s="1"/>
  <c r="AK18" i="5"/>
  <c r="AL18" i="5"/>
  <c r="AN18" i="5" s="1"/>
  <c r="R53" i="30"/>
  <c r="W49" i="30"/>
  <c r="U9" i="30"/>
  <c r="V9" i="30" s="1"/>
  <c r="U35" i="30"/>
  <c r="V35" i="30" s="1"/>
  <c r="Y48" i="30"/>
  <c r="Y49" i="30" s="1"/>
  <c r="U21" i="30"/>
  <c r="W8" i="30"/>
  <c r="Y8" i="30" s="1"/>
  <c r="AB8" i="30"/>
  <c r="AC8" i="30"/>
  <c r="AC34" i="30"/>
  <c r="AB34" i="30"/>
  <c r="W34" i="30"/>
  <c r="Y34" i="30" s="1"/>
  <c r="AK70" i="5"/>
  <c r="AJ71" i="5" s="1"/>
  <c r="AL71" i="5" s="1"/>
  <c r="AN71" i="5" s="1"/>
  <c r="AJ59" i="5"/>
  <c r="AL59" i="5" s="1"/>
  <c r="AN59" i="5" s="1"/>
  <c r="F21" i="5"/>
  <c r="H21" i="5" s="1"/>
  <c r="D83" i="6"/>
  <c r="E98" i="6"/>
  <c r="D97" i="6"/>
  <c r="I85" i="6"/>
  <c r="E84" i="6"/>
  <c r="G85" i="6"/>
  <c r="F86" i="6"/>
  <c r="F87" i="6"/>
  <c r="H98" i="6"/>
  <c r="H99" i="6"/>
  <c r="K87" i="6"/>
  <c r="K86" i="6"/>
  <c r="H85" i="6"/>
  <c r="F98" i="6"/>
  <c r="F99" i="6"/>
  <c r="J97" i="6"/>
  <c r="K97" i="6"/>
  <c r="J85" i="6"/>
  <c r="G71" i="5"/>
  <c r="F72" i="5" s="1"/>
  <c r="V61" i="5"/>
  <c r="AY23" i="5"/>
  <c r="AZ47" i="5"/>
  <c r="H7" i="5"/>
  <c r="J7" i="5" s="1"/>
  <c r="BA21" i="5"/>
  <c r="BC21" i="5" s="1"/>
  <c r="BA46" i="5"/>
  <c r="BC46" i="5" s="1"/>
  <c r="V22" i="5"/>
  <c r="W21" i="5"/>
  <c r="Y21" i="5" s="1"/>
  <c r="AB21" i="5"/>
  <c r="AC21" i="5"/>
  <c r="BA33" i="5"/>
  <c r="H70" i="5"/>
  <c r="J70" i="5" s="1"/>
  <c r="G33" i="5"/>
  <c r="F34" i="5" s="1"/>
  <c r="AZ71" i="5"/>
  <c r="AY72" i="5" s="1"/>
  <c r="BA9" i="5"/>
  <c r="BA10" i="5" s="1"/>
  <c r="AY10" i="5"/>
  <c r="H59" i="5"/>
  <c r="J59" i="5" s="1"/>
  <c r="BA60" i="5"/>
  <c r="BC60" i="5" s="1"/>
  <c r="G8" i="5"/>
  <c r="F9" i="5" s="1"/>
  <c r="V72" i="5"/>
  <c r="W71" i="5"/>
  <c r="Y71" i="5" s="1"/>
  <c r="W60" i="5"/>
  <c r="Y60" i="5" s="1"/>
  <c r="BC32" i="5"/>
  <c r="G45" i="5"/>
  <c r="F46" i="5" s="1"/>
  <c r="AZ9" i="5"/>
  <c r="G59" i="5"/>
  <c r="F60" i="5" s="1"/>
  <c r="AZ61" i="5"/>
  <c r="U32" i="5" l="1"/>
  <c r="W32" i="5" s="1"/>
  <c r="Y32" i="5" s="1"/>
  <c r="AA34" i="30"/>
  <c r="W46" i="5"/>
  <c r="W45" i="5"/>
  <c r="Y45" i="5" s="1"/>
  <c r="AJ19" i="5"/>
  <c r="AL19" i="5" s="1"/>
  <c r="AN19" i="5" s="1"/>
  <c r="AK19" i="5"/>
  <c r="AK44" i="5"/>
  <c r="AL44" i="5"/>
  <c r="AN44" i="5" s="1"/>
  <c r="AK31" i="5"/>
  <c r="AL31" i="5"/>
  <c r="AN31" i="5" s="1"/>
  <c r="AJ7" i="5"/>
  <c r="AK7" i="5" s="1"/>
  <c r="Y53" i="30"/>
  <c r="U10" i="30"/>
  <c r="AC21" i="30"/>
  <c r="W21" i="30"/>
  <c r="Y21" i="30" s="1"/>
  <c r="AB21" i="30"/>
  <c r="V21" i="30"/>
  <c r="AA35" i="30"/>
  <c r="W35" i="30"/>
  <c r="W36" i="30" s="1"/>
  <c r="AA8" i="30"/>
  <c r="U36" i="30"/>
  <c r="W9" i="30"/>
  <c r="W10" i="30" s="1"/>
  <c r="AA9" i="30"/>
  <c r="AK71" i="5"/>
  <c r="AK59" i="5"/>
  <c r="J21" i="5"/>
  <c r="G21" i="5"/>
  <c r="AL10" i="5"/>
  <c r="BC9" i="5"/>
  <c r="BC10" i="5" s="1"/>
  <c r="I87" i="6"/>
  <c r="I86" i="6"/>
  <c r="G87" i="6"/>
  <c r="G86" i="6"/>
  <c r="D98" i="6"/>
  <c r="H87" i="6"/>
  <c r="H86" i="6"/>
  <c r="K98" i="6"/>
  <c r="K99" i="6"/>
  <c r="E85" i="6"/>
  <c r="E99" i="6"/>
  <c r="J87" i="6"/>
  <c r="J86" i="6"/>
  <c r="J99" i="6"/>
  <c r="J98" i="6"/>
  <c r="D84" i="6"/>
  <c r="AZ48" i="5"/>
  <c r="AV26" i="5"/>
  <c r="AV24" i="5"/>
  <c r="AV25" i="5"/>
  <c r="G34" i="5"/>
  <c r="F35" i="5" s="1"/>
  <c r="G72" i="5"/>
  <c r="BA34" i="5"/>
  <c r="BC34" i="5" s="1"/>
  <c r="W72" i="5"/>
  <c r="Y72" i="5" s="1"/>
  <c r="G60" i="5"/>
  <c r="F61" i="5" s="1"/>
  <c r="H45" i="5"/>
  <c r="BA71" i="5"/>
  <c r="BC71" i="5" s="1"/>
  <c r="BC33" i="5"/>
  <c r="AJ23" i="5"/>
  <c r="BA61" i="5"/>
  <c r="BC61" i="5" s="1"/>
  <c r="AZ72" i="5"/>
  <c r="H71" i="5"/>
  <c r="J71" i="5" s="1"/>
  <c r="H8" i="5"/>
  <c r="J8" i="5" s="1"/>
  <c r="AA21" i="5"/>
  <c r="W61" i="5"/>
  <c r="Y61" i="5" s="1"/>
  <c r="BA22" i="5"/>
  <c r="BA23" i="5" s="1"/>
  <c r="AZ34" i="5"/>
  <c r="H33" i="5"/>
  <c r="J33" i="5" s="1"/>
  <c r="G9" i="5"/>
  <c r="W22" i="5"/>
  <c r="Y22" i="5" s="1"/>
  <c r="Y23" i="5" s="1"/>
  <c r="AA22" i="5"/>
  <c r="BA47" i="5"/>
  <c r="BC47" i="5" s="1"/>
  <c r="AV13" i="5"/>
  <c r="AV11" i="5"/>
  <c r="AV12" i="5"/>
  <c r="U23" i="5"/>
  <c r="AZ22" i="5"/>
  <c r="D9" i="1"/>
  <c r="D16" i="2"/>
  <c r="D17" i="2"/>
  <c r="C3" i="2"/>
  <c r="D35" i="1"/>
  <c r="C5" i="2"/>
  <c r="D5" i="2" s="1"/>
  <c r="C4" i="2"/>
  <c r="D4" i="2" s="1"/>
  <c r="D20" i="2"/>
  <c r="D23" i="2"/>
  <c r="AA36" i="30" l="1"/>
  <c r="V32" i="5"/>
  <c r="U33" i="5" s="1"/>
  <c r="W33" i="5" s="1"/>
  <c r="Y33" i="5" s="1"/>
  <c r="C6" i="2"/>
  <c r="C13" i="2" s="1"/>
  <c r="C14" i="2" s="1"/>
  <c r="V46" i="5"/>
  <c r="AJ8" i="5"/>
  <c r="AK8" i="5" s="1"/>
  <c r="AL7" i="5"/>
  <c r="AN7" i="5" s="1"/>
  <c r="AP7" i="5"/>
  <c r="AJ32" i="5"/>
  <c r="AL32" i="5" s="1"/>
  <c r="AN32" i="5" s="1"/>
  <c r="AK32" i="5"/>
  <c r="AJ45" i="5"/>
  <c r="AL45" i="5" s="1"/>
  <c r="AN45" i="5" s="1"/>
  <c r="AK45" i="5"/>
  <c r="AJ20" i="5"/>
  <c r="AK20" i="5" s="1"/>
  <c r="AA10" i="30"/>
  <c r="R13" i="30"/>
  <c r="AA21" i="30"/>
  <c r="R39" i="30"/>
  <c r="U22" i="30"/>
  <c r="V22" i="30" s="1"/>
  <c r="Y35" i="30"/>
  <c r="Y36" i="30" s="1"/>
  <c r="Y9" i="30"/>
  <c r="Y10" i="30" s="1"/>
  <c r="U120" i="5"/>
  <c r="V120" i="5" s="1"/>
  <c r="U94" i="30"/>
  <c r="C23" i="2"/>
  <c r="D44" i="1"/>
  <c r="G43" i="1" s="1"/>
  <c r="AJ72" i="5"/>
  <c r="AL72" i="5" s="1"/>
  <c r="AN72" i="5" s="1"/>
  <c r="AJ60" i="5"/>
  <c r="AL60" i="5" s="1"/>
  <c r="AN60" i="5" s="1"/>
  <c r="F22" i="5"/>
  <c r="G22" i="5" s="1"/>
  <c r="D3" i="2"/>
  <c r="D43" i="1"/>
  <c r="C22" i="2"/>
  <c r="BC22" i="5"/>
  <c r="BC23" i="5" s="1"/>
  <c r="AA23" i="5"/>
  <c r="D99" i="6"/>
  <c r="D85" i="6"/>
  <c r="E87" i="6"/>
  <c r="E86" i="6"/>
  <c r="W23" i="5"/>
  <c r="AV27" i="5"/>
  <c r="AV14" i="5"/>
  <c r="BC14" i="5" s="1"/>
  <c r="AJ49" i="5"/>
  <c r="R26" i="5"/>
  <c r="H9" i="5"/>
  <c r="H10" i="5" s="1"/>
  <c r="F10" i="5"/>
  <c r="H60" i="5"/>
  <c r="J60" i="5" s="1"/>
  <c r="AZ35" i="5"/>
  <c r="BA72" i="5"/>
  <c r="BC72" i="5" s="1"/>
  <c r="H72" i="5"/>
  <c r="J72" i="5" s="1"/>
  <c r="H46" i="5"/>
  <c r="J46" i="5" s="1"/>
  <c r="G61" i="5"/>
  <c r="H34" i="5"/>
  <c r="J34" i="5" s="1"/>
  <c r="AJ36" i="5"/>
  <c r="G46" i="5"/>
  <c r="F47" i="5" s="1"/>
  <c r="J45" i="5"/>
  <c r="G35" i="5"/>
  <c r="BA48" i="5"/>
  <c r="BA49" i="5" s="1"/>
  <c r="AY49" i="5"/>
  <c r="D40" i="1"/>
  <c r="D41" i="1"/>
  <c r="AA33" i="5" l="1"/>
  <c r="V33" i="5"/>
  <c r="U34" i="5" s="1"/>
  <c r="V34" i="5" s="1"/>
  <c r="U35" i="5" s="1"/>
  <c r="U47" i="5"/>
  <c r="V47" i="5" s="1"/>
  <c r="U48" i="5" s="1"/>
  <c r="W48" i="5" s="1"/>
  <c r="AJ46" i="5"/>
  <c r="AK46" i="5" s="1"/>
  <c r="AJ33" i="5"/>
  <c r="AK33" i="5"/>
  <c r="AJ9" i="5"/>
  <c r="AK9" i="5" s="1"/>
  <c r="AJ21" i="5"/>
  <c r="AK21" i="5" s="1"/>
  <c r="AL20" i="5"/>
  <c r="AN20" i="5" s="1"/>
  <c r="AP20" i="5"/>
  <c r="AP23" i="5" s="1"/>
  <c r="AR8" i="5"/>
  <c r="AQ8" i="5"/>
  <c r="AP8" i="5" s="1"/>
  <c r="AP10" i="5" s="1"/>
  <c r="AL8" i="5"/>
  <c r="AN8" i="5" s="1"/>
  <c r="U121" i="5"/>
  <c r="R14" i="30"/>
  <c r="Y14" i="30" s="1"/>
  <c r="R40" i="30"/>
  <c r="Y40" i="30" s="1"/>
  <c r="AA22" i="30"/>
  <c r="AA23" i="30" s="1"/>
  <c r="W22" i="30"/>
  <c r="W23" i="30" s="1"/>
  <c r="U23" i="30"/>
  <c r="U95" i="30"/>
  <c r="V94" i="30"/>
  <c r="C13" i="5"/>
  <c r="AK72" i="5"/>
  <c r="AK60" i="5"/>
  <c r="AJ61" i="5" s="1"/>
  <c r="AL61" i="5" s="1"/>
  <c r="AN61" i="5" s="1"/>
  <c r="H22" i="5"/>
  <c r="F23" i="5"/>
  <c r="W120" i="5"/>
  <c r="W121" i="5" s="1"/>
  <c r="BC27" i="5"/>
  <c r="D87" i="6"/>
  <c r="D86" i="6"/>
  <c r="F36" i="5"/>
  <c r="BC48" i="5"/>
  <c r="BC49" i="5" s="1"/>
  <c r="R27" i="5"/>
  <c r="Y27" i="5" s="1"/>
  <c r="F68" i="1" s="1"/>
  <c r="H35" i="5"/>
  <c r="H36" i="5" s="1"/>
  <c r="Y46" i="5"/>
  <c r="AA46" i="5"/>
  <c r="G47" i="5"/>
  <c r="F48" i="5" s="1"/>
  <c r="A115" i="5"/>
  <c r="BA35" i="5"/>
  <c r="BA36" i="5" s="1"/>
  <c r="AY36" i="5"/>
  <c r="J9" i="5"/>
  <c r="J10" i="5" s="1"/>
  <c r="AV51" i="5"/>
  <c r="AV52" i="5"/>
  <c r="AV50" i="5"/>
  <c r="H61" i="5"/>
  <c r="J61" i="5" s="1"/>
  <c r="W47" i="5" l="1"/>
  <c r="W49" i="5" s="1"/>
  <c r="A106" i="5"/>
  <c r="U49" i="5"/>
  <c r="V48" i="5"/>
  <c r="AL21" i="5"/>
  <c r="AN21" i="5" s="1"/>
  <c r="AQ21" i="5"/>
  <c r="AP21" i="5" s="1"/>
  <c r="AR21" i="5"/>
  <c r="AJ10" i="5"/>
  <c r="AP9" i="5"/>
  <c r="AL9" i="5"/>
  <c r="AN9" i="5" s="1"/>
  <c r="AN10" i="5" s="1"/>
  <c r="AN14" i="5" s="1"/>
  <c r="AJ34" i="5"/>
  <c r="AP33" i="5"/>
  <c r="AP36" i="5" s="1"/>
  <c r="AL33" i="5"/>
  <c r="AN33" i="5" s="1"/>
  <c r="AJ47" i="5"/>
  <c r="AK47" i="5"/>
  <c r="AJ22" i="5"/>
  <c r="AK22" i="5" s="1"/>
  <c r="AL46" i="5"/>
  <c r="AN46" i="5" s="1"/>
  <c r="AP46" i="5"/>
  <c r="AP49" i="5" s="1"/>
  <c r="Y22" i="30"/>
  <c r="Y23" i="30" s="1"/>
  <c r="R26" i="30"/>
  <c r="W94" i="30"/>
  <c r="W95" i="30" s="1"/>
  <c r="AK61" i="5"/>
  <c r="C26" i="5"/>
  <c r="C39" i="5"/>
  <c r="J22" i="5"/>
  <c r="J23" i="5" s="1"/>
  <c r="H23" i="5"/>
  <c r="BC35" i="5"/>
  <c r="BC36" i="5" s="1"/>
  <c r="Y120" i="5"/>
  <c r="Y121" i="5" s="1"/>
  <c r="Y124" i="5" s="1"/>
  <c r="AV53" i="5"/>
  <c r="BC53" i="5" s="1"/>
  <c r="H47" i="5"/>
  <c r="J47" i="5" s="1"/>
  <c r="F49" i="5"/>
  <c r="AV39" i="5"/>
  <c r="AV37" i="5"/>
  <c r="AV38" i="5"/>
  <c r="C14" i="5"/>
  <c r="J14" i="5" s="1"/>
  <c r="G33" i="9" s="1"/>
  <c r="U36" i="5"/>
  <c r="W34" i="5"/>
  <c r="Y34" i="5" s="1"/>
  <c r="AB34" i="5"/>
  <c r="AC34" i="5"/>
  <c r="Y47" i="5"/>
  <c r="AB47" i="5"/>
  <c r="AC47" i="5"/>
  <c r="J35" i="5"/>
  <c r="J36" i="5" s="1"/>
  <c r="D6" i="2"/>
  <c r="D34" i="1"/>
  <c r="R102" i="5" l="1"/>
  <c r="Y102" i="5" s="1"/>
  <c r="F72" i="1" s="1"/>
  <c r="AQ34" i="5"/>
  <c r="AP34" i="5" s="1"/>
  <c r="AL34" i="5"/>
  <c r="AN34" i="5" s="1"/>
  <c r="AR34" i="5"/>
  <c r="AP22" i="5"/>
  <c r="AL22" i="5"/>
  <c r="AL23" i="5" s="1"/>
  <c r="AJ48" i="5"/>
  <c r="AK48" i="5" s="1"/>
  <c r="AQ47" i="5"/>
  <c r="AP47" i="5" s="1"/>
  <c r="AL47" i="5"/>
  <c r="AN47" i="5" s="1"/>
  <c r="AR47" i="5"/>
  <c r="AK34" i="5"/>
  <c r="R27" i="30"/>
  <c r="Y27" i="30" s="1"/>
  <c r="Y94" i="30"/>
  <c r="Y95" i="30" s="1"/>
  <c r="Y98" i="30" s="1"/>
  <c r="C40" i="5"/>
  <c r="J40" i="5" s="1"/>
  <c r="C27" i="5"/>
  <c r="J27" i="5" s="1"/>
  <c r="G34" i="9" s="1"/>
  <c r="AA34" i="5"/>
  <c r="AA47" i="5"/>
  <c r="V35" i="5"/>
  <c r="H48" i="5"/>
  <c r="H49" i="5" s="1"/>
  <c r="AV40" i="5"/>
  <c r="BC40" i="5" s="1"/>
  <c r="G48" i="5"/>
  <c r="C52" i="5"/>
  <c r="R39" i="5"/>
  <c r="AA48" i="5"/>
  <c r="W35" i="5"/>
  <c r="W36" i="5" s="1"/>
  <c r="AA35" i="5"/>
  <c r="AN22" i="5" l="1"/>
  <c r="AN23" i="5" s="1"/>
  <c r="AN27" i="5" s="1"/>
  <c r="AP48" i="5"/>
  <c r="AL48" i="5"/>
  <c r="AL49" i="5" s="1"/>
  <c r="AJ35" i="5"/>
  <c r="G35" i="9"/>
  <c r="AA49" i="5"/>
  <c r="J48" i="5"/>
  <c r="J49" i="5" s="1"/>
  <c r="AA36" i="5"/>
  <c r="R40" i="5"/>
  <c r="Y35" i="5"/>
  <c r="Y36" i="5" s="1"/>
  <c r="R52" i="5"/>
  <c r="C53" i="5"/>
  <c r="Y48" i="5"/>
  <c r="Y49" i="5" s="1"/>
  <c r="AN48" i="5" l="1"/>
  <c r="AN49" i="5" s="1"/>
  <c r="AN53" i="5" s="1"/>
  <c r="R89" i="5"/>
  <c r="Y89" i="5" s="1"/>
  <c r="F71" i="1" s="1"/>
  <c r="AL35" i="5"/>
  <c r="AL36" i="5" s="1"/>
  <c r="AP35" i="5"/>
  <c r="AN35" i="5"/>
  <c r="AN36" i="5" s="1"/>
  <c r="AN40" i="5" s="1"/>
  <c r="AK35" i="5"/>
  <c r="J53" i="5"/>
  <c r="G37" i="29" s="1"/>
  <c r="G52" i="29" s="1"/>
  <c r="G108" i="29" s="1"/>
  <c r="R53" i="5"/>
  <c r="Y53" i="5" s="1"/>
  <c r="F70" i="1" s="1"/>
  <c r="Y40" i="5"/>
  <c r="F69" i="1" s="1"/>
  <c r="I99" i="29" l="1"/>
  <c r="I101" i="29" s="1"/>
  <c r="G36" i="9"/>
  <c r="W5" i="5"/>
  <c r="Y5" i="5" s="1"/>
  <c r="V5" i="5"/>
  <c r="U6" i="5" s="1"/>
  <c r="G76" i="29" l="1"/>
  <c r="G37" i="9"/>
  <c r="V6" i="5"/>
  <c r="U7" i="5" s="1"/>
  <c r="AA7" i="5" s="1"/>
  <c r="W6" i="5"/>
  <c r="Y6" i="5" s="1"/>
  <c r="G111" i="29" l="1"/>
  <c r="G100" i="29"/>
  <c r="G104" i="29" s="1"/>
  <c r="I107" i="29"/>
  <c r="L99" i="9"/>
  <c r="L101" i="9" s="1"/>
  <c r="G52" i="9"/>
  <c r="G108" i="9" s="1"/>
  <c r="V7" i="5"/>
  <c r="U8" i="5" s="1"/>
  <c r="AC8" i="5" s="1"/>
  <c r="W7" i="5"/>
  <c r="Y7" i="5" s="1"/>
  <c r="G101" i="29" l="1"/>
  <c r="C109" i="29"/>
  <c r="G76" i="9"/>
  <c r="G100" i="9" s="1"/>
  <c r="G111" i="9" s="1"/>
  <c r="V8" i="5"/>
  <c r="U9" i="5" s="1"/>
  <c r="AA9" i="5" s="1"/>
  <c r="W8" i="5"/>
  <c r="Y8" i="5" s="1"/>
  <c r="AB8" i="5"/>
  <c r="AA8" i="5" s="1"/>
  <c r="G112" i="9" l="1"/>
  <c r="L107" i="9"/>
  <c r="G101" i="9"/>
  <c r="AA10" i="5"/>
  <c r="U10" i="5"/>
  <c r="V9" i="5"/>
  <c r="W9" i="5"/>
  <c r="W10" i="5" s="1"/>
  <c r="C109" i="9" l="1"/>
  <c r="R13" i="5"/>
  <c r="Y9" i="5"/>
  <c r="Y10" i="5" s="1"/>
  <c r="R14" i="5" l="1"/>
  <c r="Y14" i="5" s="1"/>
  <c r="D36" i="1"/>
  <c r="F67" i="1" l="1"/>
  <c r="F73" i="1" s="1"/>
  <c r="F88" i="1" s="1"/>
  <c r="F98" i="1" s="1"/>
  <c r="F117" i="1" s="1"/>
  <c r="C15" i="2"/>
  <c r="C21" i="2" s="1"/>
  <c r="D38" i="1"/>
  <c r="D15" i="2" l="1"/>
  <c r="D37" i="1"/>
  <c r="C29" i="2" l="1"/>
  <c r="C28" i="2"/>
  <c r="G34" i="1" s="1"/>
  <c r="D39" i="1"/>
  <c r="D21" i="2"/>
  <c r="C27" i="2" l="1"/>
  <c r="C26" i="2"/>
  <c r="G37" i="1" s="1"/>
  <c r="G39" i="1" s="1"/>
  <c r="F12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 Sinclair</author>
  </authors>
  <commentList>
    <comment ref="E2" authorId="0" shapeId="0" xr:uid="{004746B7-E983-424E-8751-28008E6DA6F3}">
      <text>
        <r>
          <rPr>
            <b/>
            <sz val="9"/>
            <color indexed="81"/>
            <rFont val="Tahoma"/>
            <family val="2"/>
          </rPr>
          <t xml:space="preserve">To change assessment rates please amend yellow fields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H15" authorId="0" shapeId="0" xr:uid="{38E880D4-C872-4683-91A3-9BB20309617B}">
      <text>
        <r>
          <rPr>
            <b/>
            <sz val="9"/>
            <color indexed="81"/>
            <rFont val="Tahoma"/>
            <family val="2"/>
          </rPr>
          <t>Author:</t>
        </r>
        <r>
          <rPr>
            <sz val="9"/>
            <color indexed="81"/>
            <rFont val="Tahoma"/>
            <family val="2"/>
          </rPr>
          <t xml:space="preserve">
(note: not all earnings are super payable by employer)</t>
        </r>
      </text>
    </comment>
    <comment ref="H27" authorId="0" shapeId="0" xr:uid="{DC88D6AE-23B1-4892-858E-3A7F7EA65180}">
      <text>
        <r>
          <rPr>
            <b/>
            <sz val="9"/>
            <color indexed="81"/>
            <rFont val="Tahoma"/>
            <family val="2"/>
          </rPr>
          <t>Author:</t>
        </r>
        <r>
          <rPr>
            <sz val="9"/>
            <color indexed="81"/>
            <rFont val="Tahoma"/>
            <family val="2"/>
          </rPr>
          <t xml:space="preserve">
(note: not all earnings are super payable by employer)</t>
        </r>
      </text>
    </comment>
    <comment ref="H39" authorId="0" shapeId="0" xr:uid="{E2D9DE51-FE4F-4F7F-9BC8-CD90BE4766E5}">
      <text>
        <r>
          <rPr>
            <b/>
            <sz val="9"/>
            <color indexed="81"/>
            <rFont val="Tahoma"/>
            <family val="2"/>
          </rPr>
          <t>Author:</t>
        </r>
        <r>
          <rPr>
            <sz val="9"/>
            <color indexed="81"/>
            <rFont val="Tahoma"/>
            <family val="2"/>
          </rPr>
          <t xml:space="preserve">
(note: not all earnings are super payable by employer)</t>
        </r>
      </text>
    </comment>
    <comment ref="H51" authorId="0" shapeId="0" xr:uid="{F80FC20D-1481-416B-8F46-12D1B9474A4A}">
      <text>
        <r>
          <rPr>
            <b/>
            <sz val="9"/>
            <color indexed="81"/>
            <rFont val="Tahoma"/>
            <family val="2"/>
          </rPr>
          <t>Author:</t>
        </r>
        <r>
          <rPr>
            <sz val="9"/>
            <color indexed="81"/>
            <rFont val="Tahoma"/>
            <family val="2"/>
          </rPr>
          <t xml:space="preserve">
(note: not all earnings are super payable by employer)</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C79D51-8BC6-4CE9-A16F-1257A776211C}" keepAlive="1" name="Query - Live Currency Rates" description="Connection to the 'Live Currency Rates' query in the workbook." type="5" refreshedVersion="6" background="1" saveData="1">
    <dbPr connection="Provider=Microsoft.Mashup.OleDb.1;Data Source=$Workbook$;Location=&quot;Live Currency Rates&quot;;Extended Properties=&quot;&quot;" command="SELECT * FROM [Live Currency Rates]"/>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<sst xmlns="http://schemas.openxmlformats.org/spreadsheetml/2006/main" count="2516" uniqueCount="1057">
  <si>
    <t>Application Details</t>
  </si>
  <si>
    <t>Applicant / SMSF Name</t>
  </si>
  <si>
    <t>Loan Value</t>
  </si>
  <si>
    <t>Security Value</t>
  </si>
  <si>
    <t>LVR</t>
  </si>
  <si>
    <t>Loan Term</t>
  </si>
  <si>
    <t>Interest Rate</t>
  </si>
  <si>
    <t>Assessment Rate</t>
  </si>
  <si>
    <t>Annual income</t>
  </si>
  <si>
    <t>Mandatory contributions</t>
  </si>
  <si>
    <t>Additional contributions</t>
  </si>
  <si>
    <t>Other income from the fund</t>
  </si>
  <si>
    <t>Rental income</t>
  </si>
  <si>
    <t>Annual fund expenses</t>
  </si>
  <si>
    <t>Total Gross Income</t>
  </si>
  <si>
    <t>Less Annual fund expenses</t>
  </si>
  <si>
    <t>Less Investment loan interest add back</t>
  </si>
  <si>
    <t>Less Tax</t>
  </si>
  <si>
    <t>Net Annual Income</t>
  </si>
  <si>
    <t>Less other commitments</t>
  </si>
  <si>
    <t>Less fund expenses</t>
  </si>
  <si>
    <t xml:space="preserve">Other income </t>
  </si>
  <si>
    <t>Total gross income</t>
  </si>
  <si>
    <t>less Fund expenses (tax deductible)</t>
  </si>
  <si>
    <t>Taxable income</t>
  </si>
  <si>
    <t>less Tax (calculated on Taxable income)</t>
  </si>
  <si>
    <t>less Fund expenses</t>
  </si>
  <si>
    <t>Actual NDI</t>
  </si>
  <si>
    <t>Annual</t>
  </si>
  <si>
    <t>Actual Proposed Monthly Repayments</t>
  </si>
  <si>
    <t>Assessed Proposed Monthly Repayments</t>
  </si>
  <si>
    <t>NDI</t>
  </si>
  <si>
    <t>Surplus for servicing</t>
  </si>
  <si>
    <t>Monthly</t>
  </si>
  <si>
    <t>NDI used for result</t>
  </si>
  <si>
    <t>Deemed rate</t>
  </si>
  <si>
    <t>less all other commitments</t>
  </si>
  <si>
    <t>Surplus amount per month</t>
  </si>
  <si>
    <t>Surplus amount per annum</t>
  </si>
  <si>
    <t>Other Investment loan balances</t>
  </si>
  <si>
    <t>All income taxed</t>
  </si>
  <si>
    <t>Servicebility Outcome</t>
  </si>
  <si>
    <t>NDI &gt;1</t>
  </si>
  <si>
    <t>Must meet $500 P/A</t>
  </si>
  <si>
    <t>Assessed %</t>
  </si>
  <si>
    <t>Results</t>
  </si>
  <si>
    <t>DTI</t>
  </si>
  <si>
    <t>-</t>
  </si>
  <si>
    <t>N/A</t>
  </si>
  <si>
    <t>less Investment loan add back (Tax deduction)</t>
  </si>
  <si>
    <t>Must meet $41.67</t>
  </si>
  <si>
    <t>less sensitivity on loan balance</t>
  </si>
  <si>
    <t>less sensitivity on loan repayments</t>
  </si>
  <si>
    <t>To activate sensitivity on existing loan limits</t>
  </si>
  <si>
    <t>To activate sensitivity on existing loan repayments</t>
  </si>
  <si>
    <t>Actual repayments for this loan</t>
  </si>
  <si>
    <t>Assessed repayments for this loan</t>
  </si>
  <si>
    <t>Excludes all sensitivity</t>
  </si>
  <si>
    <t>NSI per month</t>
  </si>
  <si>
    <t>Totals:</t>
  </si>
  <si>
    <t>Net</t>
  </si>
  <si>
    <t>Tax</t>
  </si>
  <si>
    <t>Gross</t>
  </si>
  <si>
    <t>Tax Rate</t>
  </si>
  <si>
    <t>Gross Taxable Income</t>
  </si>
  <si>
    <t>SMSF Contributions - Applicant 4</t>
  </si>
  <si>
    <t>SMSF Contributions - Applicant 3</t>
  </si>
  <si>
    <t>SMSF Contributions - Applicant 2</t>
  </si>
  <si>
    <t>Low Income Tax Offset</t>
  </si>
  <si>
    <t>SMSF Contributions - Applicant 1</t>
  </si>
  <si>
    <t>Medicare Levy (Monthly)</t>
  </si>
  <si>
    <t>$ Calc</t>
  </si>
  <si>
    <t>% Cacl</t>
  </si>
  <si>
    <t>High Band</t>
  </si>
  <si>
    <t>Low Band</t>
  </si>
  <si>
    <t>Low &amp; Middle Income Tax Offset table</t>
  </si>
  <si>
    <t>Income</t>
  </si>
  <si>
    <t>Assets</t>
  </si>
  <si>
    <t xml:space="preserve">SMSF Assets </t>
  </si>
  <si>
    <t>Company 2</t>
  </si>
  <si>
    <t>Company 1</t>
  </si>
  <si>
    <t>Applicant 6</t>
  </si>
  <si>
    <t>Applicant 5</t>
  </si>
  <si>
    <t>Medicare Levy (monthly)</t>
  </si>
  <si>
    <t>Refer table</t>
  </si>
  <si>
    <t>Low income tax offset (monthly)</t>
  </si>
  <si>
    <t>Low &amp; middle income tax offset (monthly)</t>
  </si>
  <si>
    <t>Budget Repair Levy (monthly)</t>
  </si>
  <si>
    <t>Applicant 4</t>
  </si>
  <si>
    <t>Applicant 3</t>
  </si>
  <si>
    <t>Applicant 2</t>
  </si>
  <si>
    <t>Flood Levy Calculations</t>
  </si>
  <si>
    <t>Applicant 1</t>
  </si>
  <si>
    <t xml:space="preserve">Tax Scales </t>
  </si>
  <si>
    <t>Annual Salary Guide - ICR</t>
  </si>
  <si>
    <t>Annual Salary Guide - Non Resident</t>
  </si>
  <si>
    <t>Annual Salary Guide - SMSF</t>
  </si>
  <si>
    <t>Annual Salary Guide - Standard</t>
  </si>
  <si>
    <t>Household Status</t>
  </si>
  <si>
    <t>Household</t>
  </si>
  <si>
    <t>Household 2</t>
  </si>
  <si>
    <t>Status</t>
  </si>
  <si>
    <t>Single</t>
  </si>
  <si>
    <r>
      <t xml:space="preserve">Dependents
</t>
    </r>
    <r>
      <rPr>
        <b/>
        <sz val="7"/>
        <color indexed="63"/>
        <rFont val="Calibri"/>
        <family val="2"/>
      </rPr>
      <t>(only enter once for each household)</t>
    </r>
  </si>
  <si>
    <t>HEM Status</t>
  </si>
  <si>
    <t>Dependents</t>
  </si>
  <si>
    <t>Long Description</t>
  </si>
  <si>
    <t>Income for HEM</t>
  </si>
  <si>
    <t>Household HEM</t>
  </si>
  <si>
    <t>Household 1</t>
  </si>
  <si>
    <t>Household 3</t>
  </si>
  <si>
    <t>Household 4</t>
  </si>
  <si>
    <t>Total</t>
  </si>
  <si>
    <t>Gross Non-Taxable Income</t>
  </si>
  <si>
    <t>Gross Income - Taxable</t>
  </si>
  <si>
    <t>Gross Income - Non-taxable</t>
  </si>
  <si>
    <t>Net Monthly Income</t>
  </si>
  <si>
    <t>Rental Property Income</t>
  </si>
  <si>
    <t>Gross Annual Income</t>
  </si>
  <si>
    <t>Monthly Interest Expense
(for gearing purposes only)</t>
  </si>
  <si>
    <t>Gross Annual Income - less haircut</t>
  </si>
  <si>
    <t>Net Rental Income</t>
  </si>
  <si>
    <t>Company Income</t>
  </si>
  <si>
    <t>Net Profit before tax (NPBT)</t>
  </si>
  <si>
    <t>Addbacks</t>
  </si>
  <si>
    <t>Company 1 (Net Profit Before Tax)</t>
  </si>
  <si>
    <t>Company 2 (Net Profit Before Tax)</t>
  </si>
  <si>
    <t>Total Income</t>
  </si>
  <si>
    <t>Less Living Allowance</t>
  </si>
  <si>
    <t>Monthly Living Expenses</t>
  </si>
  <si>
    <t>Living Expense Used (&gt; of HEM or Actual)</t>
  </si>
  <si>
    <t>Private Schooling</t>
  </si>
  <si>
    <t>Health &amp; Personal Insurances</t>
  </si>
  <si>
    <t>Rent / Board</t>
  </si>
  <si>
    <t>Child Support / Maintenance</t>
  </si>
  <si>
    <t>Total Living Expenses</t>
  </si>
  <si>
    <t>Total income available for debt &amp; housing servicing</t>
  </si>
  <si>
    <t>Less Existing Commitments</t>
  </si>
  <si>
    <t>Debt / Limit</t>
  </si>
  <si>
    <t>Monthly Pmt</t>
  </si>
  <si>
    <t>Credit Card (Limit not debt)</t>
  </si>
  <si>
    <t>Mortgage Loan - Owner Occupied</t>
  </si>
  <si>
    <t>Net Personal Servicing Position</t>
  </si>
  <si>
    <t>Result - Must Be Positive</t>
  </si>
  <si>
    <t>Single with 10 children</t>
  </si>
  <si>
    <t>Single with 9 children</t>
  </si>
  <si>
    <t>Single with 8 children</t>
  </si>
  <si>
    <t>Single with 7 children</t>
  </si>
  <si>
    <t>Single with 6 children</t>
  </si>
  <si>
    <t>Single with 5 children</t>
  </si>
  <si>
    <t>Single with 4 children</t>
  </si>
  <si>
    <t>Single with 3 children</t>
  </si>
  <si>
    <t>Single with 2 children</t>
  </si>
  <si>
    <t>Single with 1 children</t>
  </si>
  <si>
    <t>Single with 0 children</t>
  </si>
  <si>
    <t>Couple with 10 children</t>
  </si>
  <si>
    <t>Couple with 9 children</t>
  </si>
  <si>
    <t>Couple with 8 children</t>
  </si>
  <si>
    <t>Couple with 7 children</t>
  </si>
  <si>
    <t>Couple with 6 children</t>
  </si>
  <si>
    <t>Couple with 5 children</t>
  </si>
  <si>
    <t>Couple with 4 children</t>
  </si>
  <si>
    <t>Couple with 3 children</t>
  </si>
  <si>
    <t>Couple with 2 children</t>
  </si>
  <si>
    <t>Couple with 1 children</t>
  </si>
  <si>
    <t>Couple with 0 children</t>
  </si>
  <si>
    <t>Australia</t>
  </si>
  <si>
    <t>to</t>
  </si>
  <si>
    <t>or less</t>
  </si>
  <si>
    <t>Total current gross HH income from all sources (measured in current dollars)</t>
  </si>
  <si>
    <t>Column for lookup</t>
  </si>
  <si>
    <t>Monthly HEM</t>
  </si>
  <si>
    <t>Single parent with 3 children</t>
  </si>
  <si>
    <t>Single parent with 2 children</t>
  </si>
  <si>
    <t>Single parent with 1 child</t>
  </si>
  <si>
    <t>Children</t>
  </si>
  <si>
    <t>Single person</t>
  </si>
  <si>
    <t>Couples</t>
  </si>
  <si>
    <t>$ per Month</t>
  </si>
  <si>
    <t>$ per Week</t>
  </si>
  <si>
    <t>Couple with 1 child</t>
  </si>
  <si>
    <t>Couple</t>
  </si>
  <si>
    <t>Other than Housing S per week</t>
  </si>
  <si>
    <t>Including Housing $ per week</t>
  </si>
  <si>
    <t>WORKFORCE STATUS HEAD NOT USED</t>
  </si>
  <si>
    <t>Smoothed HEM</t>
  </si>
  <si>
    <t>BASED ON RAW DATA</t>
  </si>
  <si>
    <t>"HEM Table 1" equivalent</t>
  </si>
  <si>
    <t>BASED ON PREDICTED VALUES FROM THE QUANTILE REGRESSIONS</t>
  </si>
  <si>
    <t>"HEM Table 1" equivalent: by Income Level and Residency</t>
  </si>
  <si>
    <t>Serviceability Sensitivity - ICR</t>
  </si>
  <si>
    <t>Rental Income - ICR</t>
  </si>
  <si>
    <t>Rental Income - SMSF</t>
  </si>
  <si>
    <t>Rental Income - Standard</t>
  </si>
  <si>
    <t>Other</t>
  </si>
  <si>
    <t>Private Loan</t>
  </si>
  <si>
    <t>Personal Loan - Variable</t>
  </si>
  <si>
    <t>Personal Loan - Fixed</t>
  </si>
  <si>
    <t>Line of Credit</t>
  </si>
  <si>
    <t>Overdraft</t>
  </si>
  <si>
    <t>Mortgage Loan - Investment</t>
  </si>
  <si>
    <t>Lease / Hire Purchase</t>
  </si>
  <si>
    <t>Stressed</t>
  </si>
  <si>
    <t>LoanType</t>
  </si>
  <si>
    <t>Interest Only Period</t>
  </si>
  <si>
    <t>Interest Rate Floor</t>
  </si>
  <si>
    <t>Serviceability Sensitivity</t>
  </si>
  <si>
    <t>Interest Only</t>
  </si>
  <si>
    <t>Principal &amp; Interest</t>
  </si>
  <si>
    <t>Dropdown box data</t>
  </si>
  <si>
    <t>2</t>
  </si>
  <si>
    <t>3</t>
  </si>
  <si>
    <t>4</t>
  </si>
  <si>
    <t>5</t>
  </si>
  <si>
    <t>6</t>
  </si>
  <si>
    <t>7</t>
  </si>
  <si>
    <t>8</t>
  </si>
  <si>
    <t>9</t>
  </si>
  <si>
    <t>10</t>
  </si>
  <si>
    <t>11</t>
  </si>
  <si>
    <t>12</t>
  </si>
  <si>
    <t>13</t>
  </si>
  <si>
    <t>14</t>
  </si>
  <si>
    <t>Loan balance sensitivity</t>
  </si>
  <si>
    <t>Other Investment loan Interest rate</t>
  </si>
  <si>
    <t>Funds To Complete</t>
  </si>
  <si>
    <t>Purchase Price</t>
  </si>
  <si>
    <t>Refinance Amount</t>
  </si>
  <si>
    <t>Government Charges</t>
  </si>
  <si>
    <t>Solicitor Fees / Other Costs</t>
  </si>
  <si>
    <t>Deposit Paid</t>
  </si>
  <si>
    <t>Existing Commitments (Existing SMSF Investment 2)</t>
  </si>
  <si>
    <t>Existing Commitments (Existing SMSF Investment 3)</t>
  </si>
  <si>
    <t>Existing Commitments (Existing SMSF Investment 4)</t>
  </si>
  <si>
    <t>CMA Balance</t>
  </si>
  <si>
    <t>Property Value</t>
  </si>
  <si>
    <t>Other Asset Balance(Share,Term Deposit etc.)</t>
  </si>
  <si>
    <t>Total Rental income</t>
  </si>
  <si>
    <t>Additional SMSF Commitment No.</t>
  </si>
  <si>
    <t>Total  Surplus Funds</t>
  </si>
  <si>
    <t>Personal Details</t>
  </si>
  <si>
    <t>SMSF Member 1</t>
  </si>
  <si>
    <t>SMSF Member 2</t>
  </si>
  <si>
    <t>SMSF Member 3</t>
  </si>
  <si>
    <t>SMSF Member 4</t>
  </si>
  <si>
    <t>SMSF Member 1 - (Taxable) Income</t>
  </si>
  <si>
    <t>SMSF Member 2 - (Taxable) Income</t>
  </si>
  <si>
    <t>SMSF Member 3 - (Taxable) Income</t>
  </si>
  <si>
    <t>SMSF Member 4 - (Taxable) Income</t>
  </si>
  <si>
    <t>SMSF Member 1 - Annual Rental Income(s)</t>
  </si>
  <si>
    <t>SMSF Member 2 - Annual Rental Income(s)</t>
  </si>
  <si>
    <t>SMSF Member 3 - Annual Rental Income(s)</t>
  </si>
  <si>
    <t>SMSF Member 4 - Annual Rental Income(s)</t>
  </si>
  <si>
    <t>less Other investment loans 1 add back</t>
  </si>
  <si>
    <t>less Other investment loans 3 add back</t>
  </si>
  <si>
    <t>less Other investment loans 2 add back</t>
  </si>
  <si>
    <t>less Other investment loans 4 add back</t>
  </si>
  <si>
    <t>Monthly repayment</t>
  </si>
  <si>
    <t>Summary</t>
  </si>
  <si>
    <t>Stressed Loan Payments</t>
  </si>
  <si>
    <t>New Monthly Loan Repayment/s</t>
  </si>
  <si>
    <t>Interest Rate of New Loan</t>
  </si>
  <si>
    <t>New Loan Amount</t>
  </si>
  <si>
    <t>Interest Only Term (Years)</t>
  </si>
  <si>
    <t>New Loan Term (Years)</t>
  </si>
  <si>
    <t>Repayment Type</t>
  </si>
  <si>
    <t>Loan 3</t>
  </si>
  <si>
    <t>Loan 2</t>
  </si>
  <si>
    <t>Loan 1</t>
  </si>
  <si>
    <t>New Loan Commitment(s)</t>
  </si>
  <si>
    <t>Total Existing Commitments</t>
  </si>
  <si>
    <t>Total Expenses</t>
  </si>
  <si>
    <t>Benchmark Living Expenses</t>
  </si>
  <si>
    <t>Transport</t>
  </si>
  <si>
    <t>Medical &amp; Health</t>
  </si>
  <si>
    <t>Clothing &amp; Personal Care</t>
  </si>
  <si>
    <t>Applicant 4 - Interest expense on rental properties</t>
  </si>
  <si>
    <t>Applicant 3 - Interest expense on rental properties</t>
  </si>
  <si>
    <t>Applicant 2 - Interest expense on rental properties</t>
  </si>
  <si>
    <t>Applicant 1 - Interest expense on rental properties</t>
  </si>
  <si>
    <t>Interest on Rental Properties</t>
  </si>
  <si>
    <t>Applicant 4 - Personal Income</t>
  </si>
  <si>
    <t>Applicant 3 - Personal Income</t>
  </si>
  <si>
    <t>Applicant 2 - Personal Income</t>
  </si>
  <si>
    <t>Applicant 1 - Personal Income</t>
  </si>
  <si>
    <t>Gross Rental Income</t>
  </si>
  <si>
    <t>Income - Personal</t>
  </si>
  <si>
    <t>Household Number</t>
  </si>
  <si>
    <t>Date:</t>
  </si>
  <si>
    <t>Application No</t>
  </si>
  <si>
    <t xml:space="preserve"> </t>
  </si>
  <si>
    <t>Applicant Name</t>
  </si>
  <si>
    <t>Rent, Board &amp; Child Support</t>
  </si>
  <si>
    <t xml:space="preserve">Total Income Available </t>
  </si>
  <si>
    <t>Basic Housing &amp; Property Expense</t>
  </si>
  <si>
    <t>Investment Property Costs</t>
  </si>
  <si>
    <t>Communication &amp; Media</t>
  </si>
  <si>
    <t>Food &amp; Groceries</t>
  </si>
  <si>
    <t>Recreation &amp; Entertainment</t>
  </si>
  <si>
    <t xml:space="preserve"> Other Expenses</t>
  </si>
  <si>
    <r>
      <t xml:space="preserve">Maximum Loan Available - </t>
    </r>
    <r>
      <rPr>
        <b/>
        <sz val="10.5"/>
        <color theme="0"/>
        <rFont val="Calibri"/>
        <family val="2"/>
      </rPr>
      <t>Principal &amp; Interest loans only</t>
    </r>
  </si>
  <si>
    <t>Child Support</t>
  </si>
  <si>
    <t>Lease / HP</t>
  </si>
  <si>
    <t>Housing Loan Variable - Investment</t>
  </si>
  <si>
    <t>Housing Loan Variable - Owner Occupied</t>
  </si>
  <si>
    <t>Personal Loan (fixed)</t>
  </si>
  <si>
    <t>China</t>
  </si>
  <si>
    <t>Zimbabwe</t>
  </si>
  <si>
    <t>VND</t>
  </si>
  <si>
    <t>Vietnam</t>
  </si>
  <si>
    <t>UYU</t>
  </si>
  <si>
    <t>Uruguay</t>
  </si>
  <si>
    <t>USD</t>
  </si>
  <si>
    <t>United States</t>
  </si>
  <si>
    <t>GBP</t>
  </si>
  <si>
    <t>United Kingdom</t>
  </si>
  <si>
    <t>AED</t>
  </si>
  <si>
    <t>United Arab Emirates</t>
  </si>
  <si>
    <t>UAH</t>
  </si>
  <si>
    <t>Ukraine</t>
  </si>
  <si>
    <t>UGX</t>
  </si>
  <si>
    <t>Uganda</t>
  </si>
  <si>
    <t>TRY</t>
  </si>
  <si>
    <t>Turkey</t>
  </si>
  <si>
    <t>TND</t>
  </si>
  <si>
    <t>Tunisia</t>
  </si>
  <si>
    <t>THB</t>
  </si>
  <si>
    <t>Thailand</t>
  </si>
  <si>
    <t>TZS</t>
  </si>
  <si>
    <t>Tanzania</t>
  </si>
  <si>
    <t>TWD</t>
  </si>
  <si>
    <t>Taiwan</t>
  </si>
  <si>
    <t>CHF</t>
  </si>
  <si>
    <t>Switzerland</t>
  </si>
  <si>
    <t>SEK</t>
  </si>
  <si>
    <t>Sweden</t>
  </si>
  <si>
    <t>LKR</t>
  </si>
  <si>
    <t>Sri Lanka</t>
  </si>
  <si>
    <t>EUR</t>
  </si>
  <si>
    <t>Spain</t>
  </si>
  <si>
    <t>KRW</t>
  </si>
  <si>
    <t>South Korea</t>
  </si>
  <si>
    <t>ZAR</t>
  </si>
  <si>
    <t>South Africa</t>
  </si>
  <si>
    <t>Slovenia</t>
  </si>
  <si>
    <t>Slovakia</t>
  </si>
  <si>
    <t>SGD</t>
  </si>
  <si>
    <t>Singapore</t>
  </si>
  <si>
    <t>RSD</t>
  </si>
  <si>
    <t>Serbia</t>
  </si>
  <si>
    <t>SAR</t>
  </si>
  <si>
    <t>Saudi Arabia</t>
  </si>
  <si>
    <t>RUB</t>
  </si>
  <si>
    <t>Russia</t>
  </si>
  <si>
    <t>RON</t>
  </si>
  <si>
    <t>Romania</t>
  </si>
  <si>
    <t>QAR</t>
  </si>
  <si>
    <t>Qatar</t>
  </si>
  <si>
    <t>Puerto Rico</t>
  </si>
  <si>
    <t>Portugal</t>
  </si>
  <si>
    <t>PLN</t>
  </si>
  <si>
    <t>Poland</t>
  </si>
  <si>
    <t>PHP</t>
  </si>
  <si>
    <t>Philippines</t>
  </si>
  <si>
    <t>PEN</t>
  </si>
  <si>
    <t>Peru</t>
  </si>
  <si>
    <t>PAB</t>
  </si>
  <si>
    <t>Panama</t>
  </si>
  <si>
    <t>PKR</t>
  </si>
  <si>
    <t>Pakistan</t>
  </si>
  <si>
    <t>OMR</t>
  </si>
  <si>
    <t>Oman</t>
  </si>
  <si>
    <t>NOK</t>
  </si>
  <si>
    <t>Norway</t>
  </si>
  <si>
    <t>NGN</t>
  </si>
  <si>
    <t>Nigeria</t>
  </si>
  <si>
    <t>NZD</t>
  </si>
  <si>
    <t>New Zealand</t>
  </si>
  <si>
    <t>Netherlands</t>
  </si>
  <si>
    <t>NPR</t>
  </si>
  <si>
    <t>Nepal</t>
  </si>
  <si>
    <t>MAD</t>
  </si>
  <si>
    <t>Morocco</t>
  </si>
  <si>
    <t>Montenegro</t>
  </si>
  <si>
    <t>MDL</t>
  </si>
  <si>
    <t>Moldova</t>
  </si>
  <si>
    <t>MXN</t>
  </si>
  <si>
    <t>Mexico</t>
  </si>
  <si>
    <t>MUR</t>
  </si>
  <si>
    <t>Mauritius</t>
  </si>
  <si>
    <t>Malta</t>
  </si>
  <si>
    <t>MYR</t>
  </si>
  <si>
    <t>Malaysia</t>
  </si>
  <si>
    <t>Luxembourg</t>
  </si>
  <si>
    <t>Lithuania</t>
  </si>
  <si>
    <t>LBP</t>
  </si>
  <si>
    <t>Lebanon</t>
  </si>
  <si>
    <t>Latvia</t>
  </si>
  <si>
    <t>KWD</t>
  </si>
  <si>
    <t>Kuwait</t>
  </si>
  <si>
    <t>KES</t>
  </si>
  <si>
    <t>Kenya</t>
  </si>
  <si>
    <t>KZT</t>
  </si>
  <si>
    <t>Kazakhstan</t>
  </si>
  <si>
    <t>JOD</t>
  </si>
  <si>
    <t>Jordan</t>
  </si>
  <si>
    <t>JPY</t>
  </si>
  <si>
    <t>Japan</t>
  </si>
  <si>
    <t>JMD</t>
  </si>
  <si>
    <t>Jamaica</t>
  </si>
  <si>
    <t>Italy</t>
  </si>
  <si>
    <t>ILS</t>
  </si>
  <si>
    <t>Israel</t>
  </si>
  <si>
    <t>Ireland</t>
  </si>
  <si>
    <t>IDR</t>
  </si>
  <si>
    <t>Indonesia</t>
  </si>
  <si>
    <t>INR</t>
  </si>
  <si>
    <t>India</t>
  </si>
  <si>
    <t>ISK</t>
  </si>
  <si>
    <t>Iceland</t>
  </si>
  <si>
    <t>HUF</t>
  </si>
  <si>
    <t>Hungary</t>
  </si>
  <si>
    <t>HKD</t>
  </si>
  <si>
    <t>Hong Kong</t>
  </si>
  <si>
    <t>HNL</t>
  </si>
  <si>
    <t>Honduras</t>
  </si>
  <si>
    <t>GTQ</t>
  </si>
  <si>
    <t>Guatemala</t>
  </si>
  <si>
    <t>Greece</t>
  </si>
  <si>
    <t>GHS</t>
  </si>
  <si>
    <t>Ghana</t>
  </si>
  <si>
    <t>Germany</t>
  </si>
  <si>
    <t>GEL</t>
  </si>
  <si>
    <t>Georgia</t>
  </si>
  <si>
    <t>France</t>
  </si>
  <si>
    <t>Finland</t>
  </si>
  <si>
    <t>Estonia</t>
  </si>
  <si>
    <t>SVC</t>
  </si>
  <si>
    <t>El Salvador</t>
  </si>
  <si>
    <t>EGP</t>
  </si>
  <si>
    <t>Egypt</t>
  </si>
  <si>
    <t>Ecuador</t>
  </si>
  <si>
    <t>DOP</t>
  </si>
  <si>
    <t>Dominican Republic</t>
  </si>
  <si>
    <t>DKK</t>
  </si>
  <si>
    <t>Denmark</t>
  </si>
  <si>
    <t>CZK</t>
  </si>
  <si>
    <t>Czech Republic</t>
  </si>
  <si>
    <t>Cyprus</t>
  </si>
  <si>
    <t>HRK</t>
  </si>
  <si>
    <t>Croatia</t>
  </si>
  <si>
    <t>CRC</t>
  </si>
  <si>
    <t>Costa Rica</t>
  </si>
  <si>
    <t>COP</t>
  </si>
  <si>
    <t>Colombia</t>
  </si>
  <si>
    <t>CNY</t>
  </si>
  <si>
    <t>CLP</t>
  </si>
  <si>
    <t>Chile</t>
  </si>
  <si>
    <t>CAD</t>
  </si>
  <si>
    <t>Canada</t>
  </si>
  <si>
    <t>KHR</t>
  </si>
  <si>
    <t>Cambodia</t>
  </si>
  <si>
    <t>BGN</t>
  </si>
  <si>
    <t>Bulgaria</t>
  </si>
  <si>
    <t>BRL</t>
  </si>
  <si>
    <t>Brazil</t>
  </si>
  <si>
    <t>BAM</t>
  </si>
  <si>
    <t>BOB</t>
  </si>
  <si>
    <t>Bolivia</t>
  </si>
  <si>
    <t>Belgium</t>
  </si>
  <si>
    <t>BYN</t>
  </si>
  <si>
    <t>Belarus</t>
  </si>
  <si>
    <t>BDT</t>
  </si>
  <si>
    <t>Bangladesh</t>
  </si>
  <si>
    <t>BHD</t>
  </si>
  <si>
    <t>Bahrain</t>
  </si>
  <si>
    <t>BSD</t>
  </si>
  <si>
    <t>Bahamas</t>
  </si>
  <si>
    <t>AZN</t>
  </si>
  <si>
    <t>Azerbaijan</t>
  </si>
  <si>
    <t>Austria</t>
  </si>
  <si>
    <t>AUD</t>
  </si>
  <si>
    <t>AMD</t>
  </si>
  <si>
    <t>Armenia</t>
  </si>
  <si>
    <t>ARS</t>
  </si>
  <si>
    <t>Argentina</t>
  </si>
  <si>
    <t>DZD</t>
  </si>
  <si>
    <t>Algeria</t>
  </si>
  <si>
    <t>ALL</t>
  </si>
  <si>
    <t>Albania</t>
  </si>
  <si>
    <t>Currency Code</t>
  </si>
  <si>
    <t>Cost of Living Index</t>
  </si>
  <si>
    <t>Country</t>
  </si>
  <si>
    <t>Living Allowance Calculation</t>
  </si>
  <si>
    <t>Joint</t>
  </si>
  <si>
    <t>Non Res Commitment</t>
  </si>
  <si>
    <t>Afghanistan</t>
  </si>
  <si>
    <t>Barbados</t>
  </si>
  <si>
    <t>Belize</t>
  </si>
  <si>
    <t>Bermuda</t>
  </si>
  <si>
    <t>Bosnia And Herzegovina</t>
  </si>
  <si>
    <t>Botswana</t>
  </si>
  <si>
    <t>Brunei</t>
  </si>
  <si>
    <t>Cameroon</t>
  </si>
  <si>
    <t>Cuba</t>
  </si>
  <si>
    <t>Ethiopia</t>
  </si>
  <si>
    <t>Fiji</t>
  </si>
  <si>
    <t>Iran</t>
  </si>
  <si>
    <t>Iraq</t>
  </si>
  <si>
    <t>Ivory Coast</t>
  </si>
  <si>
    <t>Kosovo (Disputed Territory)</t>
  </si>
  <si>
    <t>Kyrgyzstan</t>
  </si>
  <si>
    <t>Libya</t>
  </si>
  <si>
    <t>Macao</t>
  </si>
  <si>
    <t>Mongolia</t>
  </si>
  <si>
    <t>Mozambique</t>
  </si>
  <si>
    <t>Myanmar</t>
  </si>
  <si>
    <t>Namibia</t>
  </si>
  <si>
    <t>Nicaragua</t>
  </si>
  <si>
    <t>North Macedonia</t>
  </si>
  <si>
    <t>Palestine</t>
  </si>
  <si>
    <t>Paraguay</t>
  </si>
  <si>
    <t>Rwanda</t>
  </si>
  <si>
    <t>Seychelles</t>
  </si>
  <si>
    <t>Somalia</t>
  </si>
  <si>
    <t>Suriname</t>
  </si>
  <si>
    <t>Syria</t>
  </si>
  <si>
    <t>Trinidad And Tobago</t>
  </si>
  <si>
    <t>Uzbekistan</t>
  </si>
  <si>
    <t>Yemen</t>
  </si>
  <si>
    <t>Zambia</t>
  </si>
  <si>
    <t>AFN</t>
  </si>
  <si>
    <t>BBD</t>
  </si>
  <si>
    <t>BZD</t>
  </si>
  <si>
    <t>XOF</t>
  </si>
  <si>
    <t>BMD</t>
  </si>
  <si>
    <t>BWP</t>
  </si>
  <si>
    <t>BND</t>
  </si>
  <si>
    <t>XAF</t>
  </si>
  <si>
    <t>CUP</t>
  </si>
  <si>
    <t>ETB</t>
  </si>
  <si>
    <t>FJD</t>
  </si>
  <si>
    <t>IRR</t>
  </si>
  <si>
    <t>IQD</t>
  </si>
  <si>
    <t>KGS</t>
  </si>
  <si>
    <t>LYD</t>
  </si>
  <si>
    <t>MOP</t>
  </si>
  <si>
    <t>MKD</t>
  </si>
  <si>
    <t>MNT</t>
  </si>
  <si>
    <t>MZN</t>
  </si>
  <si>
    <t>MMK</t>
  </si>
  <si>
    <t>NAD</t>
  </si>
  <si>
    <t>NIO</t>
  </si>
  <si>
    <t>PYG</t>
  </si>
  <si>
    <t>RWF</t>
  </si>
  <si>
    <t>SCR</t>
  </si>
  <si>
    <t>SOS</t>
  </si>
  <si>
    <t>SRD</t>
  </si>
  <si>
    <t>SYP</t>
  </si>
  <si>
    <t>TTD</t>
  </si>
  <si>
    <t>UZS</t>
  </si>
  <si>
    <t>YER</t>
  </si>
  <si>
    <t>ZMW</t>
  </si>
  <si>
    <t>ZWL</t>
  </si>
  <si>
    <t>Cost of Living Data Date - 2021</t>
  </si>
  <si>
    <t>Currency code ▲▼</t>
  </si>
  <si>
    <t>Currency name ▲▼</t>
  </si>
  <si>
    <t>Units per AUD</t>
  </si>
  <si>
    <t>AUD per Unit</t>
  </si>
  <si>
    <t>US Dollar</t>
  </si>
  <si>
    <t>Euro</t>
  </si>
  <si>
    <t>British Pound</t>
  </si>
  <si>
    <t>Indian Rupee</t>
  </si>
  <si>
    <t>Australian Dollar</t>
  </si>
  <si>
    <t>Canadian Dollar</t>
  </si>
  <si>
    <t>Singapore Dollar</t>
  </si>
  <si>
    <t>Swiss Franc</t>
  </si>
  <si>
    <t>Malaysian Ringgit</t>
  </si>
  <si>
    <t>Japanese Yen</t>
  </si>
  <si>
    <t>Chinese Yuan Renminbi</t>
  </si>
  <si>
    <t>New Zealand Dollar</t>
  </si>
  <si>
    <t>Thai Baht</t>
  </si>
  <si>
    <t>Hungarian Forint</t>
  </si>
  <si>
    <t>Emirati Dirham</t>
  </si>
  <si>
    <t>Hong Kong Dollar</t>
  </si>
  <si>
    <t>Mexican Peso</t>
  </si>
  <si>
    <t>South African Rand</t>
  </si>
  <si>
    <t>Philippine Peso</t>
  </si>
  <si>
    <t>Swedish Krona</t>
  </si>
  <si>
    <t>Indonesian Rupiah</t>
  </si>
  <si>
    <t>Saudi Arabian Riyal</t>
  </si>
  <si>
    <t>Brazilian Real</t>
  </si>
  <si>
    <t>Turkish Lira</t>
  </si>
  <si>
    <t>Kenyan Shilling</t>
  </si>
  <si>
    <t>South Korean Won</t>
  </si>
  <si>
    <t>Egyptian Pound</t>
  </si>
  <si>
    <t>Iraqi Dinar</t>
  </si>
  <si>
    <t>Norwegian Krone</t>
  </si>
  <si>
    <t>Kuwaiti Dinar</t>
  </si>
  <si>
    <t>Russian Ruble</t>
  </si>
  <si>
    <t>Danish Krone</t>
  </si>
  <si>
    <t>Pakistani Rupee</t>
  </si>
  <si>
    <t>Israeli Shekel</t>
  </si>
  <si>
    <t>Polish Zloty</t>
  </si>
  <si>
    <t>Qatari Riyal</t>
  </si>
  <si>
    <t>XAU</t>
  </si>
  <si>
    <t>Gold Ounce</t>
  </si>
  <si>
    <t>Omani Rial</t>
  </si>
  <si>
    <t>Colombian Peso</t>
  </si>
  <si>
    <t>Chilean Peso</t>
  </si>
  <si>
    <t>Taiwan New Dollar</t>
  </si>
  <si>
    <t>Argentine Peso</t>
  </si>
  <si>
    <t>Czech Koruna</t>
  </si>
  <si>
    <t>Vietnamese Dong</t>
  </si>
  <si>
    <t>Moroccan Dirham</t>
  </si>
  <si>
    <t>Jordanian Dinar</t>
  </si>
  <si>
    <t>Bahraini Dinar</t>
  </si>
  <si>
    <t>CFA Franc</t>
  </si>
  <si>
    <t>Sri Lankan Rupee</t>
  </si>
  <si>
    <t>Ukrainian Hryvnia</t>
  </si>
  <si>
    <t>Nigerian Naira</t>
  </si>
  <si>
    <t>Tunisian Dinar</t>
  </si>
  <si>
    <t>Ugandan Shilling</t>
  </si>
  <si>
    <t>Romanian Leu</t>
  </si>
  <si>
    <t>Bangladeshi Taka</t>
  </si>
  <si>
    <t>Peruvian Sol</t>
  </si>
  <si>
    <t>Georgian Lari</t>
  </si>
  <si>
    <t>Central African CFA Franc BEAC</t>
  </si>
  <si>
    <t>Fijian Dollar</t>
  </si>
  <si>
    <t>VEF</t>
  </si>
  <si>
    <t>Venezuelan Bolívar</t>
  </si>
  <si>
    <t>VES</t>
  </si>
  <si>
    <t>Belarusian Ruble</t>
  </si>
  <si>
    <t>Croatian Kuna</t>
  </si>
  <si>
    <t>Uzbekistani Som</t>
  </si>
  <si>
    <t>Bulgarian Lev</t>
  </si>
  <si>
    <t>Algerian Dinar</t>
  </si>
  <si>
    <t>Iranian Rial</t>
  </si>
  <si>
    <t>Dominican Peso</t>
  </si>
  <si>
    <t>Icelandic Krona</t>
  </si>
  <si>
    <t>XAG</t>
  </si>
  <si>
    <t>Silver Ounce</t>
  </si>
  <si>
    <t>Costa Rican Colon</t>
  </si>
  <si>
    <t>Syrian Pound</t>
  </si>
  <si>
    <t>Libyan Dinar</t>
  </si>
  <si>
    <t>Jamaican Dollar</t>
  </si>
  <si>
    <t>Mauritian Rupee</t>
  </si>
  <si>
    <t>Ghanaian Cedi</t>
  </si>
  <si>
    <t>AOA</t>
  </si>
  <si>
    <t>Angolan Kwanza</t>
  </si>
  <si>
    <t>Uruguayan Peso</t>
  </si>
  <si>
    <t>Afghan Afghani</t>
  </si>
  <si>
    <t>Lebanese Pound</t>
  </si>
  <si>
    <t>XPF</t>
  </si>
  <si>
    <t>CFP Franc</t>
  </si>
  <si>
    <t>Trinidadian Dollar</t>
  </si>
  <si>
    <t>Tanzanian Shilling</t>
  </si>
  <si>
    <t>Albanian Lek</t>
  </si>
  <si>
    <t>XCD</t>
  </si>
  <si>
    <t>East Caribbean Dollar</t>
  </si>
  <si>
    <t>Guatemalan Quetzal</t>
  </si>
  <si>
    <t>Nepalese Rupee</t>
  </si>
  <si>
    <t>Bolivian Bolíviano</t>
  </si>
  <si>
    <t>ZWD</t>
  </si>
  <si>
    <t>Zimbabwean Dollar</t>
  </si>
  <si>
    <t>Barbadian or Bajan Dollar</t>
  </si>
  <si>
    <t>CUC</t>
  </si>
  <si>
    <t>Cuban Convertible Peso</t>
  </si>
  <si>
    <t>LAK</t>
  </si>
  <si>
    <t>Lao Kip</t>
  </si>
  <si>
    <t>Bruneian Dollar</t>
  </si>
  <si>
    <t>Botswana Pula</t>
  </si>
  <si>
    <t>Honduran Lempira</t>
  </si>
  <si>
    <t>Paraguayan Guarani</t>
  </si>
  <si>
    <t>Ethiopian Birr</t>
  </si>
  <si>
    <t>Namibian Dollar</t>
  </si>
  <si>
    <t>PGK</t>
  </si>
  <si>
    <t>Papua New Guinean Kina</t>
  </si>
  <si>
    <t>SDG</t>
  </si>
  <si>
    <t>Sudanese Pound</t>
  </si>
  <si>
    <t>Macau Pataca</t>
  </si>
  <si>
    <t>Nicaraguan Cordoba</t>
  </si>
  <si>
    <t>Bermudian Dollar</t>
  </si>
  <si>
    <t>Kazakhstani Tenge</t>
  </si>
  <si>
    <t>Panamanian Balboa</t>
  </si>
  <si>
    <t>Bosnian Convertible Mark</t>
  </si>
  <si>
    <t>GYD</t>
  </si>
  <si>
    <t>Guyanese Dollar</t>
  </si>
  <si>
    <t>Yemeni Rial</t>
  </si>
  <si>
    <t>MGA</t>
  </si>
  <si>
    <t>Malagasy Ariary</t>
  </si>
  <si>
    <t>KYD</t>
  </si>
  <si>
    <t>Caymanian Dollar</t>
  </si>
  <si>
    <t>Mozambican Metical</t>
  </si>
  <si>
    <t>Serbian Dinar</t>
  </si>
  <si>
    <t>Seychellois Rupee</t>
  </si>
  <si>
    <t>Armenian Dram</t>
  </si>
  <si>
    <t>SBD</t>
  </si>
  <si>
    <t>Solomon Islander Dollar</t>
  </si>
  <si>
    <t>Azerbaijan Manat</t>
  </si>
  <si>
    <t>SLL</t>
  </si>
  <si>
    <t>Sierra Leonean Leone</t>
  </si>
  <si>
    <t>TOP</t>
  </si>
  <si>
    <t>Tongan Pa'anga</t>
  </si>
  <si>
    <t>Belizean Dollar</t>
  </si>
  <si>
    <t>MWK</t>
  </si>
  <si>
    <t>Malawian Kwacha</t>
  </si>
  <si>
    <t>GMD</t>
  </si>
  <si>
    <t>Gambian Dalasi</t>
  </si>
  <si>
    <t>BIF</t>
  </si>
  <si>
    <t>Burundian Franc</t>
  </si>
  <si>
    <t>Somali Shilling</t>
  </si>
  <si>
    <t>HTG</t>
  </si>
  <si>
    <t>Haitian Gourde</t>
  </si>
  <si>
    <t>GNF</t>
  </si>
  <si>
    <t>Guinean Franc</t>
  </si>
  <si>
    <t>MVR</t>
  </si>
  <si>
    <t>Maldivian Rufiyaa</t>
  </si>
  <si>
    <t>Mongolian Tughrik</t>
  </si>
  <si>
    <t>CDF</t>
  </si>
  <si>
    <t>Congolese Franc</t>
  </si>
  <si>
    <t>STN</t>
  </si>
  <si>
    <t>Sao Tomean Dobra</t>
  </si>
  <si>
    <t>TJS</t>
  </si>
  <si>
    <t>Tajikistani Somoni</t>
  </si>
  <si>
    <t>KPW</t>
  </si>
  <si>
    <t>North Korean Won</t>
  </si>
  <si>
    <t>Burmese Kyat</t>
  </si>
  <si>
    <t>LSL</t>
  </si>
  <si>
    <t>Basotho Loti</t>
  </si>
  <si>
    <t>LRD</t>
  </si>
  <si>
    <t>Liberian Dollar</t>
  </si>
  <si>
    <t>Kyrgyzstani Som</t>
  </si>
  <si>
    <t>GIP</t>
  </si>
  <si>
    <t>Gibraltar Pound</t>
  </si>
  <si>
    <t>XPT</t>
  </si>
  <si>
    <t>Platinum Ounce</t>
  </si>
  <si>
    <t>Moldovan Leu</t>
  </si>
  <si>
    <t>Cuban Peso</t>
  </si>
  <si>
    <t>Cambodian Riel</t>
  </si>
  <si>
    <t>Macedonian Denar</t>
  </si>
  <si>
    <t>VUV</t>
  </si>
  <si>
    <t>Ni-Vanuatu Vatu</t>
  </si>
  <si>
    <t>MRU</t>
  </si>
  <si>
    <t>Mauritanian Ouguiya</t>
  </si>
  <si>
    <t>ANG</t>
  </si>
  <si>
    <t>Dutch Guilder</t>
  </si>
  <si>
    <t>SZL</t>
  </si>
  <si>
    <t>Swazi Lilangeni</t>
  </si>
  <si>
    <t>CVE</t>
  </si>
  <si>
    <t>Cape Verdean Escudo</t>
  </si>
  <si>
    <t>Surinamese Dollar</t>
  </si>
  <si>
    <t>XPD</t>
  </si>
  <si>
    <t>Palladium Ounce</t>
  </si>
  <si>
    <t>Salvadoran Colon</t>
  </si>
  <si>
    <t>Bahamian Dollar</t>
  </si>
  <si>
    <t>XDR</t>
  </si>
  <si>
    <t>IMF Special Drawing Rights</t>
  </si>
  <si>
    <t>Rwandan Franc</t>
  </si>
  <si>
    <t>AWG</t>
  </si>
  <si>
    <t>Aruban or Dutch Guilder</t>
  </si>
  <si>
    <t>DJF</t>
  </si>
  <si>
    <t>Djiboutian Franc</t>
  </si>
  <si>
    <t>BTN</t>
  </si>
  <si>
    <t>Bhutanese Ngultrum</t>
  </si>
  <si>
    <t>KMF</t>
  </si>
  <si>
    <t>Comorian Franc</t>
  </si>
  <si>
    <t>WST</t>
  </si>
  <si>
    <t>Samoan Tala</t>
  </si>
  <si>
    <t>SPL</t>
  </si>
  <si>
    <t>Seborgan Luigino</t>
  </si>
  <si>
    <t>ERN</t>
  </si>
  <si>
    <t>Eritrean Nakfa</t>
  </si>
  <si>
    <t>FKP</t>
  </si>
  <si>
    <t>Falkland Island Pound</t>
  </si>
  <si>
    <t>SHP</t>
  </si>
  <si>
    <t>Saint Helenian Pound</t>
  </si>
  <si>
    <t>JEP</t>
  </si>
  <si>
    <t>Jersey Pound</t>
  </si>
  <si>
    <t>TMT</t>
  </si>
  <si>
    <t>Turkmenistani Manat</t>
  </si>
  <si>
    <t>TVD</t>
  </si>
  <si>
    <t>Tuvaluan Dollar</t>
  </si>
  <si>
    <t>IMP</t>
  </si>
  <si>
    <t>Isle of Man Pound</t>
  </si>
  <si>
    <t>GGP</t>
  </si>
  <si>
    <t>Guernsey Pound</t>
  </si>
  <si>
    <t>Zambian Kwacha</t>
  </si>
  <si>
    <t>ex rate 1</t>
  </si>
  <si>
    <t>ex rate 2</t>
  </si>
  <si>
    <t>Interest Coverage Ratio</t>
  </si>
  <si>
    <t>New Monthly Interest Amount</t>
  </si>
  <si>
    <t>Annual Interest Expense (unstressed)</t>
  </si>
  <si>
    <t>Total Monthly Income</t>
  </si>
  <si>
    <t>EBIAT (earnings before interest after taxes) </t>
  </si>
  <si>
    <t xml:space="preserve">Employer Super Rate: </t>
  </si>
  <si>
    <t>Gross Annualised Super</t>
  </si>
  <si>
    <t>Ave Per Week</t>
  </si>
  <si>
    <t>YTD Employer Super</t>
  </si>
  <si>
    <t>Weeks</t>
  </si>
  <si>
    <t>No. of Days</t>
  </si>
  <si>
    <t>Finish Date</t>
  </si>
  <si>
    <t>Start Date</t>
  </si>
  <si>
    <t>Superannuation:</t>
  </si>
  <si>
    <t>Gross Annualised</t>
  </si>
  <si>
    <t>YTD Gross</t>
  </si>
  <si>
    <t>PAYG Income:</t>
  </si>
  <si>
    <t>Name</t>
  </si>
  <si>
    <t>PAYG Income Year to Date</t>
  </si>
  <si>
    <t>Application Number</t>
  </si>
  <si>
    <t>Marginalisation Calculator</t>
  </si>
  <si>
    <t>Delivery Rate</t>
  </si>
  <si>
    <t>Interest only loading</t>
  </si>
  <si>
    <t>Offset Loading</t>
  </si>
  <si>
    <t>Additional Loadings</t>
  </si>
  <si>
    <t>Upfront Commission</t>
  </si>
  <si>
    <t>Upfront Recovery p/a</t>
  </si>
  <si>
    <t>Net Trail</t>
  </si>
  <si>
    <t>Gross Trail Loading</t>
  </si>
  <si>
    <t>Fixed Interest Loading</t>
  </si>
  <si>
    <t xml:space="preserve"> Discounts</t>
  </si>
  <si>
    <t>GST on upfront commission</t>
  </si>
  <si>
    <t>Result must exceed 1.75</t>
  </si>
  <si>
    <t>Annual Gross Rental Income</t>
  </si>
  <si>
    <t>Monthly Gross Rental Income</t>
  </si>
  <si>
    <t>New Annual Loan Repayment/s</t>
  </si>
  <si>
    <t xml:space="preserve">New Monthly Loan Repayment/s </t>
  </si>
  <si>
    <t xml:space="preserve">New Loan Amount </t>
  </si>
  <si>
    <t>Interest Only Term</t>
  </si>
  <si>
    <t xml:space="preserve">Repayment Type </t>
  </si>
  <si>
    <t>New Loan Committment</t>
  </si>
  <si>
    <t>Applicants name(s):</t>
  </si>
  <si>
    <t xml:space="preserve">Application number </t>
  </si>
  <si>
    <t xml:space="preserve">Lease Doc Serviceability </t>
  </si>
  <si>
    <t>Remaining Lease Term</t>
  </si>
  <si>
    <t>Lease options available</t>
  </si>
  <si>
    <t>Change Log</t>
  </si>
  <si>
    <t>Calculator</t>
  </si>
  <si>
    <t>Date</t>
  </si>
  <si>
    <t>Change</t>
  </si>
  <si>
    <t>Serviceability Calculator</t>
  </si>
  <si>
    <t>Lease Doc Calculator</t>
  </si>
  <si>
    <t>Assessment rate amended floor - 5.29%
Assessment rate amended buffer - 2.50%</t>
  </si>
  <si>
    <t>Added with 1.75 times ICR required</t>
  </si>
  <si>
    <t>NDI ratio &gt; 1.00 pass (was 1.01)</t>
  </si>
  <si>
    <t>For Coded loan</t>
  </si>
  <si>
    <t>For Non-Coded loan</t>
  </si>
  <si>
    <t>Assessment rate buffer change to -3.00%</t>
  </si>
  <si>
    <t>Existing Commitments Sensitivity(Non-Coded)</t>
  </si>
  <si>
    <t>Total Stressed Commitments(Non-Coded)</t>
  </si>
  <si>
    <t>SMSF/Non-Coded</t>
  </si>
  <si>
    <t>Existing Commitments Sensitivity</t>
  </si>
  <si>
    <t>Total Stressed Commitments</t>
  </si>
  <si>
    <t>Loan Assessment Rate</t>
  </si>
  <si>
    <t xml:space="preserve">Stress Rate for ICR </t>
  </si>
  <si>
    <t xml:space="preserve">Stressed monthly Amount for ICR </t>
  </si>
  <si>
    <t>Annual Interest Expense (stressed)</t>
  </si>
  <si>
    <t>Stressed Interest Coverage Ratio</t>
  </si>
  <si>
    <t xml:space="preserve"> Debt to Income Ratio (DTI)</t>
  </si>
  <si>
    <t xml:space="preserve">Total Income </t>
  </si>
  <si>
    <t xml:space="preserve">Company 1 Income </t>
  </si>
  <si>
    <t xml:space="preserve">Company 2 income </t>
  </si>
  <si>
    <t>Income distribution for business 2</t>
  </si>
  <si>
    <t>Income allocation to applicants (%)</t>
  </si>
  <si>
    <t>Total allocation</t>
  </si>
  <si>
    <t>(uses lower current year or max 20% increase rule)</t>
  </si>
  <si>
    <t>(this amount auto populates serviceability worksheet)</t>
  </si>
  <si>
    <t>Income for serviceability</t>
  </si>
  <si>
    <t>Average net available income</t>
  </si>
  <si>
    <t>Net available income</t>
  </si>
  <si>
    <t>Total add-backs</t>
  </si>
  <si>
    <t>Other (please specify)</t>
  </si>
  <si>
    <t>Non-recurring expenses (please specify)</t>
  </si>
  <si>
    <t>Superannuation (in excess of compulsory)</t>
  </si>
  <si>
    <t>Interest expenses (loans being refinanced)</t>
  </si>
  <si>
    <t>Depreciation *</t>
  </si>
  <si>
    <t>Director salary/fees (before tax)</t>
  </si>
  <si>
    <t>Allowable add-backs</t>
  </si>
  <si>
    <t>Total profit/loss</t>
  </si>
  <si>
    <r>
      <t>minus</t>
    </r>
    <r>
      <rPr>
        <sz val="10"/>
        <color indexed="63"/>
        <rFont val="Arial"/>
        <family val="2"/>
      </rPr>
      <t xml:space="preserve"> Non-recurring income</t>
    </r>
  </si>
  <si>
    <r>
      <t xml:space="preserve">Profit/loss </t>
    </r>
    <r>
      <rPr>
        <sz val="10"/>
        <color indexed="63"/>
        <rFont val="Arial"/>
        <family val="2"/>
      </rPr>
      <t>(before tax)</t>
    </r>
  </si>
  <si>
    <t xml:space="preserve">Tax year ending </t>
  </si>
  <si>
    <t>Comments</t>
  </si>
  <si>
    <t>Previous year</t>
  </si>
  <si>
    <t>Current year</t>
  </si>
  <si>
    <t>Self employed - Business 2</t>
  </si>
  <si>
    <t>Income distribution for business 1</t>
  </si>
  <si>
    <t>Self employed - Business 1</t>
  </si>
  <si>
    <t>Self employed worksheet</t>
  </si>
  <si>
    <r>
      <t>Add Genworth DTI</t>
    </r>
    <r>
      <rPr>
        <sz val="18"/>
        <color theme="1"/>
        <rFont val="Calibri"/>
        <family val="2"/>
      </rPr>
      <t>®</t>
    </r>
    <r>
      <rPr>
        <sz val="11"/>
        <color theme="1"/>
        <rFont val="Calibri"/>
        <family val="2"/>
        <scheme val="minor"/>
      </rPr>
      <t xml:space="preserve">
Change to show both code and non-coded result
update HEM table Q1 2022
Assessment rate buffer change to -3.00%
Move Insuance to standard living expense to compare with HEM
</t>
    </r>
  </si>
  <si>
    <t>SMSF</t>
  </si>
  <si>
    <t>Ownership must be input as a percentage for each individual.</t>
  </si>
  <si>
    <t>Gearing</t>
  </si>
  <si>
    <t>Rental</t>
  </si>
  <si>
    <t>Servicing Figure Inputs</t>
  </si>
  <si>
    <t>App 4</t>
  </si>
  <si>
    <t>App 3</t>
  </si>
  <si>
    <t>App 2</t>
  </si>
  <si>
    <t>App 1</t>
  </si>
  <si>
    <t>Annual Gearing</t>
  </si>
  <si>
    <t>Amount Owing</t>
  </si>
  <si>
    <t>Verification</t>
  </si>
  <si>
    <t>Annual Rental</t>
  </si>
  <si>
    <t xml:space="preserve"> Frequency</t>
  </si>
  <si>
    <t>Gross Rental</t>
  </si>
  <si>
    <t>Property Address</t>
  </si>
  <si>
    <t>Negative Gearing</t>
  </si>
  <si>
    <t>Rental Income</t>
  </si>
  <si>
    <t>Weekly</t>
  </si>
  <si>
    <t>Fortnightly</t>
  </si>
  <si>
    <t>Quarterly</t>
  </si>
  <si>
    <t>Valuation</t>
  </si>
  <si>
    <t>Lease Agreement</t>
  </si>
  <si>
    <t>Rental Statements</t>
  </si>
  <si>
    <t>Bank Statements</t>
  </si>
  <si>
    <t>Self Employed Income Cal add
Add Rental &amp; Gearing Cal</t>
  </si>
  <si>
    <t>Depreciation Add-back</t>
  </si>
  <si>
    <t>Depreciation Calculation</t>
  </si>
  <si>
    <t xml:space="preserve">Depreciation </t>
  </si>
  <si>
    <t>Business Income</t>
  </si>
  <si>
    <t>Child Support / Spousal maintenance</t>
  </si>
  <si>
    <t>2 X Rental Appraisals</t>
  </si>
  <si>
    <t>15</t>
  </si>
  <si>
    <t>Update HEM Q3 2022</t>
  </si>
  <si>
    <t>Property</t>
  </si>
  <si>
    <t xml:space="preserve">Equipment </t>
  </si>
  <si>
    <t>Vehicle</t>
  </si>
  <si>
    <t>IT</t>
  </si>
  <si>
    <t>Stock</t>
  </si>
  <si>
    <t>PAYG</t>
  </si>
  <si>
    <t>Self-employed</t>
  </si>
  <si>
    <t>Bonus</t>
  </si>
  <si>
    <t>Overtime</t>
  </si>
  <si>
    <t>Dividend</t>
  </si>
  <si>
    <t>NDI Ratio (NDI Ratio must be at least 1.001:1)</t>
  </si>
  <si>
    <t>SME Serviceability Calculator</t>
  </si>
  <si>
    <t>change from 1.75 to 1.40</t>
  </si>
  <si>
    <t xml:space="preserve">SME Servicing Calculator </t>
  </si>
  <si>
    <t xml:space="preserve">Introduce SME Servicing Calculator </t>
  </si>
  <si>
    <t xml:space="preserve">Assessment rate buffer change to -2.25%
Debug Verify Data button </t>
  </si>
  <si>
    <r>
      <t>Add Genworth DTI</t>
    </r>
    <r>
      <rPr>
        <sz val="18"/>
        <color theme="1"/>
        <rFont val="Calibri"/>
        <family val="2"/>
      </rPr>
      <t>®</t>
    </r>
    <r>
      <rPr>
        <sz val="11"/>
        <color theme="1"/>
        <rFont val="Calibri"/>
        <family val="2"/>
        <scheme val="minor"/>
      </rPr>
      <t xml:space="preserve">
Change to show both code and non-coded result
update HEM table Q1 2022
Assessment rate buffer change to -3.00% (Coded)
Move Insurance to standard living expense to compare with HEM
</t>
    </r>
  </si>
  <si>
    <t>update HEM table Q4 2022
Assessment rate buffer change to - 2.50%
Existing commitment stressed change to - 2.25%
Result to display NSI DTI NDIR 
Debug self-employed worksheet
Add function for rebranding</t>
  </si>
  <si>
    <t>Serviceability</t>
  </si>
  <si>
    <t>Loan Assessment Rate (2.25% stress / minimum 5.29%)</t>
  </si>
  <si>
    <t>Assessment rate buffer change to -2.50%</t>
  </si>
  <si>
    <t>Assessment rate buffer change to -2.50%
Existing commitment stressed change to - 2.25%</t>
  </si>
  <si>
    <t>Assessment rate buffer change to -3.00%
Add result row</t>
  </si>
  <si>
    <t>SME Serviceability Sensitivity</t>
  </si>
  <si>
    <t>PRIME Serviceability Sensitivity</t>
  </si>
  <si>
    <t>Interest Coverage Ratio (Result must exceed 1.30)</t>
  </si>
  <si>
    <t>SMSF Member 5</t>
  </si>
  <si>
    <t>SMSF Member 6</t>
  </si>
  <si>
    <t>Household 5</t>
  </si>
  <si>
    <t>Household 6</t>
  </si>
  <si>
    <t>SMSF Member 5 - (Taxable) Income</t>
  </si>
  <si>
    <t>SMSF Member 6 - (Taxable) Income</t>
  </si>
  <si>
    <t>SMSF Member 5 - Annual Rental Income(s)</t>
  </si>
  <si>
    <t>SMSF Member 6 - Annual Rental Income(s)</t>
  </si>
  <si>
    <t xml:space="preserve">Update HEM table Q2 2023
Assessment rate buffer change to -2.50%
</t>
  </si>
  <si>
    <t>Assessment rate buffer change to -2.00%</t>
  </si>
  <si>
    <t xml:space="preserve">Assessment rate buffer change to -2.00%
Allow 6 members in verify data </t>
  </si>
  <si>
    <t xml:space="preserve">Lease doc </t>
  </si>
  <si>
    <t>ICR change to 1.30</t>
  </si>
  <si>
    <t xml:space="preserve">YTD Cal </t>
  </si>
  <si>
    <t>super contribution to 11%</t>
  </si>
  <si>
    <t>Loan 4</t>
  </si>
  <si>
    <t>Loan 5</t>
  </si>
  <si>
    <t>Loan 6</t>
  </si>
  <si>
    <t xml:space="preserve">For 5 to 6 loans </t>
  </si>
  <si>
    <t xml:space="preserve">Update HEM table Q1 2024
default no of loan to 4 , before no of loan is 3 - include the ability to max 6
</t>
  </si>
  <si>
    <t xml:space="preserve">Assessment rate amended floor - 5.50% </t>
  </si>
  <si>
    <t>Net Asset Test</t>
  </si>
  <si>
    <t>Liquidity - Min 3 Mths Repayment</t>
  </si>
  <si>
    <t xml:space="preserve">
default no of loan to 4 , before no of loan is 3 - include the ability to max 6
</t>
  </si>
  <si>
    <t>Change Mandatory contributions change 27,500 to 30,000
Remove other income from the fund 
Change the rule of liquidity test - (&lt; 3 * months repayment)
Net Asset Test only fail when it is less than 0
Update Tax Rate -ATO 24/25
Remove additional contributions from 15% tax as the input is after tax.</t>
  </si>
  <si>
    <t>Update Tax Rate -ATO 24/25</t>
  </si>
  <si>
    <t>Express Refinance NSI</t>
  </si>
  <si>
    <t>Result - Must Exceed 1.00</t>
  </si>
  <si>
    <t>**  ---  Denotes mandadory fields</t>
  </si>
  <si>
    <t>Annual Loan Repayment/s</t>
  </si>
  <si>
    <t>Monthly Loan Repayment/s</t>
  </si>
  <si>
    <t>New Loan:</t>
  </si>
  <si>
    <t>Current Loan:</t>
  </si>
  <si>
    <t>Loan LVR</t>
  </si>
  <si>
    <t>Enter Loan Amount</t>
  </si>
  <si>
    <t>Residential</t>
  </si>
  <si>
    <t>Security Type</t>
  </si>
  <si>
    <t>Loan Details:</t>
  </si>
  <si>
    <t>Applicant Name(s):</t>
  </si>
  <si>
    <t>Kailun Huang</t>
  </si>
  <si>
    <t>User:</t>
  </si>
  <si>
    <t xml:space="preserve">     - Other income cannot be used to support for this method. </t>
  </si>
  <si>
    <t>Kailun (Ivan) Huang</t>
  </si>
  <si>
    <t xml:space="preserve">     - New loan repayment must be less than the current repayment.</t>
  </si>
  <si>
    <t xml:space="preserve">     - 2 years clean repayment history (evidenced by loan statements. Interenet transactions statement must be supported by formal Bank statements)</t>
  </si>
  <si>
    <t xml:space="preserve">     - 100% of rental income can be used for servicing purposes (evidenced by 12 months rental history from either rental statements and/or rental credits to bank statements)</t>
  </si>
  <si>
    <t xml:space="preserve">     - Max LVR 70%</t>
  </si>
  <si>
    <t xml:space="preserve">
Annual rental exceeds annual loan repayment to validate serviceability</t>
  </si>
  <si>
    <t>Refinance Policy (with minimum 2 years clean repayment history)</t>
  </si>
  <si>
    <r>
      <t xml:space="preserve">---- You may enter policies after this row up to maximum designated line. Make sure to enter on </t>
    </r>
    <r>
      <rPr>
        <b/>
        <sz val="11"/>
        <color rgb="FFFF0000"/>
        <rFont val="Calibri"/>
        <family val="2"/>
        <scheme val="minor"/>
      </rPr>
      <t>Column B only</t>
    </r>
    <r>
      <rPr>
        <b/>
        <sz val="11"/>
        <color theme="1"/>
        <rFont val="Calibri"/>
        <family val="2"/>
        <scheme val="minor"/>
      </rPr>
      <t>.  This will be hidden once you leave the sheet. ---</t>
    </r>
  </si>
  <si>
    <t>Allowed Users To Edit</t>
  </si>
  <si>
    <t>Current User:</t>
  </si>
  <si>
    <t>Commercial</t>
  </si>
  <si>
    <t>Data Test</t>
  </si>
  <si>
    <t>Max Loan Amount</t>
  </si>
  <si>
    <t>Min Loan Amount</t>
  </si>
  <si>
    <t xml:space="preserve">This is the amount of the Self Managed Super Fund's Assets excluding the security for the loan.  This is only applicable to SMSF loans.  (We assume an investment return of 3.9% per annum taxed at the current Tax Rate for Superannuation income).  </t>
  </si>
  <si>
    <t>SMSF Assets</t>
  </si>
  <si>
    <t>Annual management fee applicible for the SMSF. This includes accountants fees, auditor fees, compliance expenses etc. Costs incurred in the generation of income are excluded from this amount as this is incorporated into the return on SMSF Assets.</t>
  </si>
  <si>
    <t>Annual Management Fee</t>
  </si>
  <si>
    <t>Annual superannuation contributuons for the applicant.</t>
  </si>
  <si>
    <t>SMSF Contributions</t>
  </si>
  <si>
    <t>This is the remaining amount of the borrowers available monthly income after living expenses, existing commitments and the proposed commitment are deducted.  This amount must be positive to succesfully pass the Serviceability Calculator.  Please refer your scenario to usif the loan does not pass the Serviceability Calculator.</t>
  </si>
  <si>
    <t>Result - Net Surplus</t>
  </si>
  <si>
    <t>This is the monthly loan repayment of the proposed loan.  It is a principal and interest repayment.  For interest only repayment calculations please refer to us.</t>
  </si>
  <si>
    <t>New Monthly Loan Repayments</t>
  </si>
  <si>
    <t>Applicable interest rate for the product</t>
  </si>
  <si>
    <t>Interest rate</t>
  </si>
  <si>
    <t>Loan amount as per the application</t>
  </si>
  <si>
    <t>Interest only term applicable to the applied loan</t>
  </si>
  <si>
    <t>Loan term of loan application in years.</t>
  </si>
  <si>
    <t>An annual percentage rate applied to the total balances of outstanding loans as a precaution against any future interest rate increases.  Currently 2.0%p.a. with 5.3% floor assessment rate.</t>
  </si>
  <si>
    <t>Sensitivity</t>
  </si>
  <si>
    <t>Existing debt commitments of the applicant. Full available loan limits must be entered as well as payments based on the full limit.</t>
  </si>
  <si>
    <t>Existing Commitments</t>
  </si>
  <si>
    <t>We need to take the full credit card limit into account when calculating serviceability.  We will use 3.8% of the total limit, regardless of the debt outstanding.</t>
  </si>
  <si>
    <t>Credit Card (Limit not Debt)</t>
  </si>
  <si>
    <t>Refer to application form for details of each category.  Full details must be entered for each household group.</t>
  </si>
  <si>
    <t>Living Allowance</t>
  </si>
  <si>
    <t>Non-taxable addbacks for the company such as depreciation and interest payments on loans included in servicing assessment.</t>
  </si>
  <si>
    <t>Company addbacks</t>
  </si>
  <si>
    <r>
      <t xml:space="preserve">Yearly cash component of salary </t>
    </r>
    <r>
      <rPr>
        <u/>
        <sz val="10"/>
        <color indexed="8"/>
        <rFont val="Arial"/>
        <family val="2"/>
      </rPr>
      <t>after expenses</t>
    </r>
    <r>
      <rPr>
        <sz val="10"/>
        <color indexed="8"/>
        <rFont val="Arial"/>
        <family val="2"/>
      </rPr>
      <t xml:space="preserve"> before tax. (Taxable income).  </t>
    </r>
  </si>
  <si>
    <r>
      <t xml:space="preserve">Company </t>
    </r>
    <r>
      <rPr>
        <b/>
        <i/>
        <sz val="10"/>
        <color indexed="8"/>
        <rFont val="Arial"/>
        <family val="2"/>
      </rPr>
      <t>Net Profit Before Tax</t>
    </r>
  </si>
  <si>
    <t>Monthly cash component of salary after tax.  Automatically calculated.</t>
  </si>
  <si>
    <r>
      <t xml:space="preserve">The interest expense for investment property where a tax deduction is able to be claimed. This amount is to be allocated to the relevant applicant. The interest expense </t>
    </r>
    <r>
      <rPr>
        <u/>
        <sz val="10"/>
        <color indexed="8"/>
        <rFont val="Arial"/>
        <family val="2"/>
      </rPr>
      <t>must not</t>
    </r>
    <r>
      <rPr>
        <sz val="10"/>
        <color indexed="8"/>
        <rFont val="Arial"/>
        <family val="2"/>
      </rPr>
      <t xml:space="preserve"> include any principal amount that forms part of the loan payment.</t>
    </r>
  </si>
  <si>
    <t>Monthly Interest Expense (for gearing prurposes only)</t>
  </si>
  <si>
    <t>Annual Rental Income received from investment properties (include income from property being purchased if a tenancy agreement is held and can be provided).  The calculator will use 80% of the amount entered adjusted for the relevant tax rate.</t>
  </si>
  <si>
    <t>Annual Rental Income</t>
  </si>
  <si>
    <t>Non taxable income of the applicant.  This is generally pension or governement benefit income that is not taxable.</t>
  </si>
  <si>
    <t>Non-Taxable Income</t>
  </si>
  <si>
    <r>
      <t xml:space="preserve">Yearly cash component of salary before tax. (Taxable income).  </t>
    </r>
    <r>
      <rPr>
        <i/>
        <sz val="10"/>
        <color indexed="8"/>
        <rFont val="Arial"/>
        <family val="2"/>
      </rPr>
      <t>To be entered by you.</t>
    </r>
  </si>
  <si>
    <t>Number of children or other dependents of an individual applicant. Dependents includes adult children over 18 if they rely on parents to cover living costs. Dependents also includes dependent children or other parties over 18 such as children with disabilities.</t>
  </si>
  <si>
    <t>Individual applicants household status (single or couple)</t>
  </si>
  <si>
    <t>The household group that an individual applicant is attached to.</t>
  </si>
  <si>
    <t>Household Numer</t>
  </si>
  <si>
    <t>Definitions</t>
  </si>
  <si>
    <t>Annual Surplus Income</t>
  </si>
  <si>
    <t>2024Q2</t>
  </si>
  <si>
    <t>Servicing Calculator V2.2</t>
  </si>
  <si>
    <t>SME Servicing Calculator V2.2</t>
  </si>
  <si>
    <t>SMSF Servicing Calculator V2.2</t>
  </si>
  <si>
    <t>Gross Non Taxable Income</t>
  </si>
  <si>
    <t>fix taxable income with SMSF member &gt;= 3
Delete Health and Personal Insurance from living expense</t>
  </si>
  <si>
    <t>Update HEM table Q2 2024
LITO &amp; LIMTO removed (App2 to App4)
Assessment rate buffer change to 2.00%
allow negative income to be entered
clear living expense when change household</t>
  </si>
  <si>
    <t xml:space="preserve">Update HEM table Q2 2024
allow negative income to be entered
add self-employed worksheet and Rental &amp; Gearing worksheet
clear living expense when change household
</t>
  </si>
  <si>
    <t>Enter Name Here</t>
  </si>
  <si>
    <t>YmLife SMSF Refinance Serviceability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</si>
</sst>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64" formatCode="_-&quot;$&quot;* #,##0.00_-;\-&quot;$&quot;* #,##0.00_-;_-&quot;$&quot;* &quot;-&quot;??_-;_-@_-"/>
    <numFmt numFmtId="165" formatCode="&quot;$&quot;#,##0.00_);\(&quot;$&quot;#,##0.00\)"/>
    <numFmt numFmtId="166" formatCode="_(&quot;$&quot;* #,##0.00_);_(&quot;$&quot;* \(#,##0.00\);_(&quot;$&quot;* &quot;-&quot;??_);_(@_)"/>
    <numFmt numFmtId="167" formatCode="&quot;$&quot;#,##0.00_);[Red]\(&quot;$&quot;#,##0.00\)"/>
    <numFmt numFmtId="168" formatCode="_(* #,##0.00_);_(* \(#,##0.00\);_(* &quot;-&quot;??_);_(@_)"/>
    <numFmt numFmtId="169" formatCode="&quot;$&quot;#,##0_);[Red]\(&quot;$&quot;#,##0\)"/>
    <numFmt numFmtId="170" formatCode="&quot;$&quot;#,##0"/>
    <numFmt numFmtId="171" formatCode="&quot;$&quot;#,##0.00"/>
    <numFmt numFmtId="172" formatCode="0.0000"/>
    <numFmt numFmtId="173" formatCode="0.000"/>
    <numFmt numFmtId="174" formatCode="[$-F800]dddd\,\ mmmm\ dd\,\ yyyy"/>
    <numFmt numFmtId="175" formatCode="_-[$$-C09]* #,##0.00_-;\-[$$-C09]* #,##0.00_-;_-[$$-C09]* &quot;-&quot;??_-;_-@_-"/>
    <numFmt numFmtId="176" formatCode="_(&quot;$&quot;* #,##0_);_(&quot;$&quot;* \(#,##0\);_(&quot;$&quot;* &quot;-&quot;??_);_(@_)"/>
    <numFmt numFmtId="177" formatCode="0.0%"/>
    <numFmt numFmtId="178" formatCode="_-* #,##0.00\ &quot;DM&quot;_-;\-* #,##0.00\ &quot;DM&quot;_-;_-* &quot;-&quot;??\ &quot;DM&quot;_-;_-@_-"/>
    <numFmt numFmtId="179" formatCode="_-* #,##0\ _D_M_-;\-* #,##0\ _D_M_-;_-* &quot;-&quot;??\ _D_M_-;_-@_-"/>
    <numFmt numFmtId="180" formatCode="_-&quot;$&quot;* #,##0_-;\-&quot;$&quot;* #,##0_-;_-&quot;$&quot;* &quot;-&quot;??_-;_-@_-"/>
    <numFmt numFmtId="181" formatCode="_-* #,##0.00\ _D_M_-;\-* #,##0.00\ _D_M_-;_-* &quot;-&quot;??\ _D_M_-;_-@_-"/>
    <numFmt numFmtId="182" formatCode="0.000000"/>
    <numFmt numFmtId="183" formatCode="0.000%"/>
    <numFmt numFmtId="184" formatCode="_ &quot;$&quot;* #,##0_ ;_ &quot;$&quot;* \-#,##0_ ;_ &quot;$&quot;* &quot;-&quot;??_ ;_ @_ "/>
    <numFmt numFmtId="185" formatCode="_ &quot;$&quot;* #,##0.00_ ;_ &quot;$&quot;* \-#,##0.00_ ;_ &quot;$&quot;* &quot;-&quot;??_ ;_ @_ "/>
    <numFmt numFmtId="186" formatCode="0.0000000000000000000000000"/>
    <numFmt numFmtId="187" formatCode="0.00\:&quot;1&quot;"/>
    <numFmt numFmtId="188" formatCode="_-&quot;$&quot;* #,##0.000_-;\-&quot;$&quot;* #,##0.000_-;_-&quot;$&quot;* &quot;-&quot;??_-;_-@_-"/>
  </numFmts>
  <fonts count="11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9"/>
      <color indexed="81"/>
      <name val="Tahoma"/>
      <family val="2"/>
    </font>
    <font>
      <b/>
      <sz val="9"/>
      <color indexed="81"/>
      <name val="Tahoma"/>
      <family val="2"/>
    </font>
    <font>
      <sz val="10"/>
      <name val="Arial"/>
      <family val="2"/>
    </font>
    <font>
      <sz val="11"/>
      <name val="Calibri"/>
      <family val="2"/>
      <scheme val="minor"/>
    </font>
    <font>
      <b/>
      <sz val="11"/>
      <name val="Calibri"/>
      <family val="2"/>
      <scheme val="minor"/>
    </font>
    <font>
      <sz val="10"/>
      <name val="Garamond"/>
      <family val="1"/>
    </font>
    <font>
      <sz val="10"/>
      <name val="Arial"/>
      <family val="2"/>
    </font>
    <font>
      <sz val="10"/>
      <color indexed="8"/>
      <name val="Arial"/>
      <family val="2"/>
    </font>
    <font>
      <b/>
      <sz val="10"/>
      <color indexed="8"/>
      <name val="Arial"/>
      <family val="2"/>
    </font>
    <font>
      <b/>
      <sz val="10"/>
      <name val="Arial"/>
      <family val="2"/>
    </font>
    <font>
      <b/>
      <sz val="10.5"/>
      <color theme="3"/>
      <name val="Calibri"/>
      <family val="2"/>
    </font>
    <font>
      <b/>
      <sz val="10.5"/>
      <color indexed="63"/>
      <name val="Calibri"/>
      <family val="2"/>
    </font>
    <font>
      <sz val="10"/>
      <color indexed="63"/>
      <name val="Calibri"/>
      <family val="2"/>
    </font>
    <font>
      <b/>
      <sz val="10"/>
      <color indexed="63"/>
      <name val="Calibri"/>
      <family val="2"/>
    </font>
    <font>
      <b/>
      <sz val="7"/>
      <color indexed="63"/>
      <name val="Calibri"/>
      <family val="2"/>
    </font>
    <font>
      <b/>
      <sz val="11"/>
      <color indexed="63"/>
      <name val="Calibri"/>
      <family val="2"/>
    </font>
    <font>
      <sz val="10"/>
      <name val="Calibri"/>
      <family val="2"/>
    </font>
    <font>
      <b/>
      <sz val="22"/>
      <color theme="1"/>
      <name val="Calibri"/>
      <family val="2"/>
      <scheme val="minor"/>
    </font>
    <font>
      <b/>
      <sz val="11"/>
      <name val="Times New Roman"/>
      <family val="1"/>
    </font>
    <font>
      <b/>
      <sz val="11"/>
      <color rgb="FF000000"/>
      <name val="Times New Roman"/>
      <family val="1"/>
    </font>
    <font>
      <b/>
      <sz val="10"/>
      <name val="Calibri"/>
      <family val="2"/>
    </font>
    <font>
      <sz val="8"/>
      <name val="Calibri"/>
      <family val="2"/>
      <scheme val="minor"/>
    </font>
    <font>
      <b/>
      <sz val="10"/>
      <color theme="0"/>
      <name val="Calibri"/>
      <family val="2"/>
    </font>
    <font>
      <b/>
      <sz val="10.5"/>
      <color theme="0"/>
      <name val="Calibri"/>
      <family val="2"/>
    </font>
    <font>
      <sz val="10"/>
      <color rgb="FFFF0000"/>
      <name val="Arial"/>
      <family val="2"/>
    </font>
    <font>
      <i/>
      <sz val="8"/>
      <name val="Calibri"/>
      <family val="2"/>
    </font>
    <font>
      <sz val="10"/>
      <color indexed="8"/>
      <name val="Calibri"/>
      <family val="2"/>
    </font>
    <font>
      <b/>
      <sz val="10"/>
      <color indexed="63"/>
      <name val="Arial"/>
      <family val="2"/>
    </font>
    <font>
      <b/>
      <i/>
      <sz val="10.5"/>
      <color indexed="63"/>
      <name val="Calibri"/>
      <family val="2"/>
    </font>
    <font>
      <b/>
      <sz val="10.5"/>
      <name val="Calibri"/>
      <family val="2"/>
      <scheme val="minor"/>
    </font>
    <font>
      <b/>
      <sz val="10"/>
      <color rgb="FFFF0000"/>
      <name val="Arial"/>
      <family val="2"/>
    </font>
    <font>
      <sz val="26"/>
      <color indexed="63"/>
      <name val="Antique Olive"/>
      <family val="2"/>
    </font>
    <font>
      <sz val="11"/>
      <color indexed="63"/>
      <name val="Calibri"/>
      <family val="2"/>
    </font>
    <font>
      <b/>
      <sz val="12"/>
      <color theme="4" tint="-0.499984740745262"/>
      <name val="Calibri"/>
      <family val="2"/>
    </font>
    <font>
      <sz val="10"/>
      <color theme="0"/>
      <name val="Arial"/>
      <family val="2"/>
    </font>
    <font>
      <b/>
      <sz val="10"/>
      <color indexed="14"/>
      <name val="Arial"/>
      <family val="2"/>
    </font>
    <font>
      <sz val="10"/>
      <color indexed="14"/>
      <name val="Arial"/>
      <family val="2"/>
    </font>
    <font>
      <b/>
      <sz val="12"/>
      <name val="Arial"/>
      <family val="2"/>
    </font>
    <font>
      <sz val="9"/>
      <name val="Calibri"/>
      <family val="2"/>
      <scheme val="minor"/>
    </font>
    <font>
      <sz val="10"/>
      <color theme="1"/>
      <name val="Calibri"/>
      <family val="2"/>
      <scheme val="minor"/>
    </font>
    <font>
      <i/>
      <sz val="9"/>
      <color rgb="FFFF0000"/>
      <name val="Calibri"/>
      <family val="2"/>
      <scheme val="minor"/>
    </font>
    <font>
      <b/>
      <sz val="9"/>
      <color indexed="63"/>
      <name val="Calibri"/>
      <family val="2"/>
      <scheme val="minor"/>
    </font>
    <font>
      <b/>
      <sz val="9"/>
      <name val="Calibri"/>
      <family val="2"/>
      <scheme val="minor"/>
    </font>
    <font>
      <b/>
      <sz val="12"/>
      <color rgb="FFFF0000"/>
      <name val="Calibri"/>
      <family val="2"/>
    </font>
    <font>
      <b/>
      <sz val="12"/>
      <color rgb="FF000000"/>
      <name val="Arial Black"/>
      <family val="2"/>
    </font>
    <font>
      <sz val="12"/>
      <color theme="1"/>
      <name val="Calibri"/>
      <family val="2"/>
      <scheme val="minor"/>
    </font>
    <font>
      <b/>
      <sz val="28"/>
      <color theme="0"/>
      <name val="Calibri"/>
      <family val="2"/>
      <scheme val="minor"/>
    </font>
    <font>
      <sz val="18"/>
      <color theme="1"/>
      <name val="Calibri"/>
      <family val="2"/>
    </font>
    <font>
      <sz val="8"/>
      <name val="Arial"/>
      <family val="2"/>
    </font>
    <font>
      <sz val="8"/>
      <color indexed="8"/>
      <name val="Arial"/>
      <family val="2"/>
    </font>
    <font>
      <b/>
      <sz val="9"/>
      <color indexed="63"/>
      <name val="Arial"/>
      <family val="2"/>
    </font>
    <font>
      <sz val="9"/>
      <color indexed="62"/>
      <name val="Arial"/>
      <family val="2"/>
    </font>
    <font>
      <b/>
      <i/>
      <sz val="9"/>
      <color indexed="62"/>
      <name val="Arial"/>
      <family val="2"/>
    </font>
    <font>
      <b/>
      <sz val="9"/>
      <color indexed="62"/>
      <name val="Arial"/>
      <family val="2"/>
    </font>
    <font>
      <sz val="9"/>
      <color indexed="63"/>
      <name val="Arial"/>
      <family val="2"/>
    </font>
    <font>
      <sz val="1"/>
      <color indexed="9"/>
      <name val="Arial"/>
      <family val="2"/>
    </font>
    <font>
      <b/>
      <i/>
      <sz val="9"/>
      <color indexed="63"/>
      <name val="Arial"/>
      <family val="2"/>
    </font>
    <font>
      <b/>
      <sz val="10"/>
      <color indexed="62"/>
      <name val="Arial"/>
      <family val="2"/>
    </font>
    <font>
      <b/>
      <i/>
      <sz val="9"/>
      <color indexed="10"/>
      <name val="Arial"/>
      <family val="2"/>
    </font>
    <font>
      <sz val="9"/>
      <name val="Arial"/>
      <family val="2"/>
    </font>
    <font>
      <sz val="10"/>
      <color indexed="63"/>
      <name val="Arial"/>
      <family val="2"/>
    </font>
    <font>
      <sz val="10"/>
      <color indexed="62"/>
      <name val="Arial"/>
      <family val="2"/>
    </font>
    <font>
      <i/>
      <sz val="10"/>
      <color indexed="63"/>
      <name val="Arial"/>
      <family val="2"/>
    </font>
    <font>
      <b/>
      <sz val="8"/>
      <name val="Arial"/>
      <family val="2"/>
    </font>
    <font>
      <b/>
      <sz val="8"/>
      <color indexed="9"/>
      <name val="Arial"/>
      <family val="2"/>
    </font>
    <font>
      <sz val="8"/>
      <color indexed="62"/>
      <name val="Arial"/>
      <family val="2"/>
    </font>
    <font>
      <b/>
      <sz val="8"/>
      <color indexed="62"/>
      <name val="Arial"/>
      <family val="2"/>
    </font>
    <font>
      <b/>
      <sz val="10"/>
      <color indexed="9"/>
      <name val="Arial"/>
      <family val="2"/>
    </font>
    <font>
      <sz val="8"/>
      <color indexed="9"/>
      <name val="Arial"/>
      <family val="2"/>
    </font>
    <font>
      <b/>
      <sz val="9"/>
      <color indexed="9"/>
      <name val="Arial"/>
      <family val="2"/>
    </font>
    <font>
      <b/>
      <sz val="14"/>
      <color indexed="9"/>
      <name val="Arial"/>
      <family val="2"/>
    </font>
    <font>
      <b/>
      <u/>
      <sz val="8"/>
      <name val="Arial"/>
      <family val="2"/>
    </font>
    <font>
      <b/>
      <sz val="24"/>
      <color indexed="9"/>
      <name val="Calibri"/>
      <family val="2"/>
    </font>
    <font>
      <b/>
      <sz val="16"/>
      <color indexed="9"/>
      <name val="Arial"/>
      <family val="2"/>
    </font>
    <font>
      <b/>
      <sz val="8"/>
      <color rgb="FF000000"/>
      <name val="Arial"/>
      <family val="2"/>
    </font>
    <font>
      <sz val="8"/>
      <color theme="1"/>
      <name val="Calibri"/>
      <family val="2"/>
      <scheme val="minor"/>
    </font>
    <font>
      <b/>
      <sz val="9"/>
      <color rgb="FF333333"/>
      <name val="Calibri"/>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8"/>
      <color theme="3"/>
      <name val="Calibri Light"/>
      <family val="2"/>
      <scheme val="major"/>
    </font>
    <font>
      <sz val="11"/>
      <color rgb="FF9C6500"/>
      <name val="Calibri"/>
      <family val="2"/>
      <scheme val="minor"/>
    </font>
    <font>
      <sz val="9"/>
      <name val="Calibri"/>
      <family val="3"/>
      <charset val="134"/>
      <scheme val="minor"/>
    </font>
    <font>
      <b/>
      <sz val="14"/>
      <color rgb="FF00B050"/>
      <name val="Calibri"/>
      <family val="2"/>
      <scheme val="minor"/>
    </font>
    <font>
      <sz val="14"/>
      <color theme="1"/>
      <name val="Calibri"/>
      <family val="2"/>
      <scheme val="minor"/>
    </font>
    <font>
      <b/>
      <sz val="14"/>
      <color theme="1"/>
      <name val="Calibri"/>
      <family val="2"/>
      <scheme val="minor"/>
    </font>
    <font>
      <sz val="11"/>
      <color theme="3"/>
      <name val="Calibri"/>
      <family val="2"/>
      <scheme val="minor"/>
    </font>
    <font>
      <b/>
      <i/>
      <sz val="11"/>
      <color theme="3"/>
      <name val="Calibri"/>
      <family val="2"/>
      <scheme val="minor"/>
    </font>
    <font>
      <b/>
      <i/>
      <sz val="12"/>
      <color theme="3"/>
      <name val="Calibri"/>
      <family val="2"/>
      <scheme val="minor"/>
    </font>
    <font>
      <b/>
      <sz val="11"/>
      <color rgb="FFC00000"/>
      <name val="Calibri"/>
      <family val="2"/>
      <scheme val="minor"/>
    </font>
    <font>
      <sz val="11"/>
      <color rgb="FFC00000"/>
      <name val="Wingdings"/>
      <charset val="2"/>
    </font>
    <font>
      <b/>
      <sz val="12"/>
      <color theme="3"/>
      <name val="Calibri"/>
      <family val="2"/>
      <scheme val="minor"/>
    </font>
    <font>
      <i/>
      <sz val="11"/>
      <color theme="1"/>
      <name val="Calibri"/>
      <family val="2"/>
      <scheme val="minor"/>
    </font>
    <font>
      <sz val="14"/>
      <color theme="3"/>
      <name val="Calibri"/>
      <family val="2"/>
      <scheme val="minor"/>
    </font>
    <font>
      <b/>
      <sz val="11"/>
      <color rgb="FFFF0000"/>
      <name val="Calibri"/>
      <family val="2"/>
      <scheme val="minor"/>
    </font>
    <font>
      <i/>
      <sz val="10"/>
      <color indexed="8"/>
      <name val="Arial"/>
      <family val="2"/>
    </font>
    <font>
      <u/>
      <sz val="10"/>
      <color indexed="8"/>
      <name val="Arial"/>
      <family val="2"/>
    </font>
    <font>
      <b/>
      <i/>
      <sz val="10"/>
      <color indexed="8"/>
      <name val="Arial"/>
      <family val="2"/>
    </font>
    <font>
      <sz val="16"/>
      <color indexed="63"/>
      <name val="Antique Olive"/>
      <family val="2"/>
    </font>
    <font>
      <b/>
      <sz val="26"/>
      <color theme="0"/>
      <name val="Antique Olive"/>
    </font>
    <font>
      <b/>
      <sz val="20"/>
      <name val="Calibri"/>
      <family val="2"/>
      <scheme val="minor"/>
    </font>
  </fonts>
  <fills count="6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rgb="FFFFFF00"/>
        <bgColor indexed="64"/>
      </patternFill>
    </fill>
    <fill>
      <patternFill patternType="solid">
        <fgColor indexed="15"/>
        <bgColor indexed="8"/>
      </patternFill>
    </fill>
    <fill>
      <patternFill patternType="solid">
        <fgColor theme="4"/>
        <bgColor indexed="8"/>
      </patternFill>
    </fill>
    <fill>
      <patternFill patternType="solid">
        <fgColor indexed="9"/>
        <bgColor indexed="9"/>
      </patternFill>
    </fill>
    <fill>
      <patternFill patternType="solid">
        <fgColor theme="4" tint="0.59999389629810485"/>
        <bgColor indexed="9"/>
      </patternFill>
    </fill>
    <fill>
      <patternFill patternType="solid">
        <fgColor theme="4" tint="0.59999389629810485"/>
        <bgColor indexed="64"/>
      </patternFill>
    </fill>
    <fill>
      <patternFill patternType="solid">
        <fgColor indexed="9"/>
        <bgColor indexed="64"/>
      </patternFill>
    </fill>
    <fill>
      <patternFill patternType="solid">
        <fgColor theme="0"/>
        <bgColor indexed="9"/>
      </patternFill>
    </fill>
    <fill>
      <patternFill patternType="solid">
        <fgColor theme="5" tint="0.79998168889431442"/>
        <bgColor indexed="9"/>
      </patternFill>
    </fill>
    <fill>
      <patternFill patternType="solid">
        <fgColor indexed="43"/>
        <bgColor indexed="64"/>
      </patternFill>
    </fill>
    <fill>
      <patternFill patternType="solid">
        <fgColor indexed="44"/>
        <bgColor indexed="9"/>
      </patternFill>
    </fill>
    <fill>
      <patternFill patternType="solid">
        <fgColor theme="8" tint="0.39997558519241921"/>
        <bgColor indexed="64"/>
      </patternFill>
    </fill>
    <fill>
      <patternFill patternType="solid">
        <fgColor theme="8" tint="0.39997558519241921"/>
        <bgColor indexed="9"/>
      </patternFill>
    </fill>
    <fill>
      <patternFill patternType="solid">
        <fgColor rgb="FFFF0000"/>
        <bgColor indexed="64"/>
      </patternFill>
    </fill>
    <fill>
      <patternFill patternType="solid">
        <fgColor indexed="13"/>
        <bgColor indexed="8"/>
      </patternFill>
    </fill>
    <fill>
      <patternFill patternType="solid">
        <fgColor indexed="12"/>
        <bgColor indexed="8"/>
      </patternFill>
    </fill>
    <fill>
      <patternFill patternType="solid">
        <fgColor indexed="42"/>
        <bgColor indexed="64"/>
      </patternFill>
    </fill>
    <fill>
      <patternFill patternType="solid">
        <fgColor indexed="38"/>
        <bgColor indexed="64"/>
      </patternFill>
    </fill>
    <fill>
      <patternFill patternType="solid">
        <fgColor indexed="23"/>
        <bgColor indexed="64"/>
      </patternFill>
    </fill>
    <fill>
      <patternFill patternType="solid">
        <fgColor rgb="FF203764"/>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249977111117893"/>
        <bgColor indexed="64"/>
      </patternFill>
    </fill>
    <fill>
      <patternFill patternType="solid">
        <fgColor theme="0" tint="-4.9989318521683403E-2"/>
        <bgColor indexed="9"/>
      </patternFill>
    </fill>
    <fill>
      <patternFill patternType="solid">
        <fgColor rgb="FF22134E"/>
        <bgColor indexed="64"/>
      </patternFill>
    </fill>
    <fill>
      <patternFill patternType="solid">
        <fgColor rgb="FF22134E"/>
        <bgColor indexed="9"/>
      </patternFill>
    </fill>
  </fills>
  <borders count="1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8"/>
      </right>
      <top/>
      <bottom style="medium">
        <color indexed="8"/>
      </bottom>
      <diagonal/>
    </border>
    <border>
      <left/>
      <right/>
      <top/>
      <bottom style="medium">
        <color indexed="8"/>
      </bottom>
      <diagonal/>
    </border>
    <border>
      <left style="medium">
        <color indexed="8"/>
      </left>
      <right/>
      <top/>
      <bottom style="medium">
        <color indexed="8"/>
      </bottom>
      <diagonal/>
    </border>
    <border>
      <left/>
      <right style="medium">
        <color indexed="8"/>
      </right>
      <top style="medium">
        <color indexed="8"/>
      </top>
      <bottom/>
      <diagonal/>
    </border>
    <border>
      <left/>
      <right/>
      <top style="medium">
        <color indexed="8"/>
      </top>
      <bottom/>
      <diagonal/>
    </border>
    <border>
      <left style="medium">
        <color indexed="8"/>
      </left>
      <right/>
      <top style="medium">
        <color indexed="8"/>
      </top>
      <bottom/>
      <diagonal/>
    </border>
    <border>
      <left/>
      <right style="thin">
        <color indexed="8"/>
      </right>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64"/>
      </right>
      <top style="thin">
        <color indexed="8"/>
      </top>
      <bottom style="thin">
        <color indexed="8"/>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8"/>
      </bottom>
      <diagonal/>
    </border>
    <border>
      <left style="thin">
        <color indexed="64"/>
      </left>
      <right/>
      <top style="thin">
        <color indexed="64"/>
      </top>
      <bottom style="thin">
        <color indexed="64"/>
      </bottom>
      <diagonal/>
    </border>
    <border>
      <left/>
      <right style="thin">
        <color indexed="64"/>
      </right>
      <top style="thin">
        <color indexed="8"/>
      </top>
      <bottom style="thin">
        <color indexed="8"/>
      </bottom>
      <diagonal/>
    </border>
    <border>
      <left style="thin">
        <color auto="1"/>
      </left>
      <right style="thin">
        <color indexed="64"/>
      </right>
      <top style="thin">
        <color auto="1"/>
      </top>
      <bottom style="thin">
        <color auto="1"/>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8"/>
      </right>
      <top style="thin">
        <color indexed="64"/>
      </top>
      <bottom style="thin">
        <color indexed="8"/>
      </bottom>
      <diagonal/>
    </border>
    <border>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64"/>
      </bottom>
      <diagonal/>
    </border>
    <border>
      <left style="thin">
        <color indexed="64"/>
      </left>
      <right style="thin">
        <color indexed="8"/>
      </right>
      <top/>
      <bottom style="thin">
        <color indexed="8"/>
      </bottom>
      <diagonal/>
    </border>
    <border>
      <left style="thin">
        <color indexed="64"/>
      </left>
      <right style="thin">
        <color indexed="64"/>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thin">
        <color indexed="8"/>
      </right>
      <top/>
      <bottom/>
      <diagonal/>
    </border>
    <border>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64"/>
      </left>
      <right style="thin">
        <color indexed="64"/>
      </right>
      <top style="thin">
        <color indexed="8"/>
      </top>
      <bottom/>
      <diagonal/>
    </border>
    <border>
      <left/>
      <right/>
      <top/>
      <bottom style="double">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8"/>
      </left>
      <right style="thin">
        <color indexed="8"/>
      </right>
      <top style="thin">
        <color indexed="64"/>
      </top>
      <bottom style="thin">
        <color indexed="8"/>
      </bottom>
      <diagonal/>
    </border>
    <border>
      <left/>
      <right style="thin">
        <color auto="1"/>
      </right>
      <top/>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auto="1"/>
      </left>
      <right/>
      <top/>
      <bottom/>
      <diagonal/>
    </border>
    <border>
      <left/>
      <right style="thin">
        <color indexed="8"/>
      </right>
      <top style="thin">
        <color indexed="8"/>
      </top>
      <bottom style="thin">
        <color indexed="8"/>
      </bottom>
      <diagonal/>
    </border>
    <border>
      <left/>
      <right/>
      <top style="thin">
        <color indexed="63"/>
      </top>
      <bottom style="double">
        <color indexed="63"/>
      </bottom>
      <diagonal/>
    </border>
    <border>
      <left/>
      <right/>
      <top style="thin">
        <color indexed="62"/>
      </top>
      <bottom/>
      <diagonal/>
    </border>
    <border>
      <left/>
      <right/>
      <top style="medium">
        <color indexed="63"/>
      </top>
      <bottom/>
      <diagonal/>
    </border>
    <border>
      <left/>
      <right/>
      <top/>
      <bottom style="medium">
        <color indexed="63"/>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medium">
        <color indexed="23"/>
      </left>
      <right/>
      <top/>
      <bottom style="medium">
        <color indexed="55"/>
      </bottom>
      <diagonal/>
    </border>
    <border>
      <left/>
      <right/>
      <top/>
      <bottom style="medium">
        <color indexed="55"/>
      </bottom>
      <diagonal/>
    </border>
    <border>
      <left/>
      <right style="medium">
        <color indexed="23"/>
      </right>
      <top/>
      <bottom style="medium">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3"/>
      </bottom>
      <diagonal/>
    </border>
    <border>
      <left/>
      <right style="medium">
        <color indexed="64"/>
      </right>
      <top/>
      <bottom style="medium">
        <color indexed="63"/>
      </bottom>
      <diagonal/>
    </border>
    <border>
      <left style="medium">
        <color indexed="64"/>
      </left>
      <right/>
      <top style="medium">
        <color indexed="63"/>
      </top>
      <bottom/>
      <diagonal/>
    </border>
    <border>
      <left/>
      <right style="medium">
        <color indexed="64"/>
      </right>
      <top style="medium">
        <color indexed="6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2"/>
      </top>
      <bottom/>
      <diagonal/>
    </border>
    <border>
      <left/>
      <right style="medium">
        <color indexed="64"/>
      </right>
      <top style="thin">
        <color indexed="62"/>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diagonal/>
    </border>
    <border>
      <left/>
      <right/>
      <top style="thin">
        <color indexed="64"/>
      </top>
      <bottom style="double">
        <color indexed="64"/>
      </bottom>
      <diagonal/>
    </border>
  </borders>
  <cellStyleXfs count="871">
    <xf numFmtId="0" fontId="0" fillId="0" borderId="0"/>
    <xf numFmtId="166" fontId="1" fillId="0" borderId="0" applyFont="0" applyFill="0" applyBorder="0" applyAlignment="0" applyProtection="0"/>
    <xf numFmtId="9" fontId="1" fillId="0" borderId="0" applyFont="0" applyFill="0" applyBorder="0" applyAlignment="0" applyProtection="0"/>
    <xf numFmtId="0" fontId="7" fillId="0" borderId="0"/>
    <xf numFmtId="0" fontId="10" fillId="0" borderId="0"/>
    <xf numFmtId="168" fontId="1" fillId="0" borderId="0" applyFont="0" applyFill="0" applyBorder="0" applyAlignment="0" applyProtection="0"/>
    <xf numFmtId="0" fontId="11" fillId="0" borderId="0"/>
    <xf numFmtId="9" fontId="7" fillId="0" borderId="0" applyFont="0" applyFill="0" applyBorder="0" applyAlignment="0" applyProtection="0"/>
    <xf numFmtId="178" fontId="7" fillId="0" borderId="0" applyFont="0" applyFill="0" applyBorder="0" applyAlignment="0" applyProtection="0"/>
    <xf numFmtId="0" fontId="7" fillId="0" borderId="0"/>
    <xf numFmtId="166" fontId="7" fillId="0" borderId="0" applyFont="0" applyFill="0" applyBorder="0" applyAlignment="0" applyProtection="0"/>
    <xf numFmtId="0" fontId="7" fillId="0" borderId="0"/>
    <xf numFmtId="166" fontId="7" fillId="0" borderId="0" applyFont="0" applyFill="0" applyBorder="0" applyAlignment="0" applyProtection="0"/>
    <xf numFmtId="181" fontId="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50" fillId="0" borderId="0"/>
    <xf numFmtId="9" fontId="50" fillId="0" borderId="0" applyFont="0" applyFill="0" applyBorder="0" applyAlignment="0" applyProtection="0"/>
    <xf numFmtId="164" fontId="1" fillId="0" borderId="0" applyFont="0" applyFill="0" applyBorder="0" applyAlignment="0" applyProtection="0"/>
    <xf numFmtId="0" fontId="82" fillId="0" borderId="142" applyNumberFormat="0" applyFill="0" applyAlignment="0" applyProtection="0"/>
    <xf numFmtId="0" fontId="83" fillId="0" borderId="143" applyNumberFormat="0" applyFill="0" applyAlignment="0" applyProtection="0"/>
    <xf numFmtId="0" fontId="84" fillId="0" borderId="144" applyNumberFormat="0" applyFill="0" applyAlignment="0" applyProtection="0"/>
    <xf numFmtId="0" fontId="84" fillId="0" borderId="0" applyNumberFormat="0" applyFill="0" applyBorder="0" applyAlignment="0" applyProtection="0"/>
    <xf numFmtId="0" fontId="85" fillId="30" borderId="0" applyNumberFormat="0" applyBorder="0" applyAlignment="0" applyProtection="0"/>
    <xf numFmtId="0" fontId="86" fillId="31" borderId="0" applyNumberFormat="0" applyBorder="0" applyAlignment="0" applyProtection="0"/>
    <xf numFmtId="0" fontId="87" fillId="33" borderId="145" applyNumberFormat="0" applyAlignment="0" applyProtection="0"/>
    <xf numFmtId="0" fontId="88" fillId="34" borderId="146" applyNumberFormat="0" applyAlignment="0" applyProtection="0"/>
    <xf numFmtId="0" fontId="89" fillId="34" borderId="145" applyNumberFormat="0" applyAlignment="0" applyProtection="0"/>
    <xf numFmtId="0" fontId="90" fillId="0" borderId="147" applyNumberFormat="0" applyFill="0" applyAlignment="0" applyProtection="0"/>
    <xf numFmtId="0" fontId="2" fillId="35" borderId="148" applyNumberFormat="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3" fillId="0" borderId="150" applyNumberFormat="0" applyFill="0" applyAlignment="0" applyProtection="0"/>
    <xf numFmtId="0" fontId="4"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4"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4"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4" fillId="49"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4"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4"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164" fontId="7" fillId="0" borderId="0" applyFont="0" applyFill="0" applyBorder="0" applyAlignment="0" applyProtection="0"/>
    <xf numFmtId="0" fontId="93" fillId="0" borderId="0" applyNumberFormat="0" applyFill="0" applyBorder="0" applyAlignment="0" applyProtection="0"/>
    <xf numFmtId="0" fontId="94" fillId="32" borderId="0" applyNumberFormat="0" applyBorder="0" applyAlignment="0" applyProtection="0"/>
    <xf numFmtId="0" fontId="4" fillId="40" borderId="0" applyNumberFormat="0" applyBorder="0" applyAlignment="0" applyProtection="0"/>
    <xf numFmtId="0" fontId="4" fillId="44" borderId="0" applyNumberFormat="0" applyBorder="0" applyAlignment="0" applyProtection="0"/>
    <xf numFmtId="0" fontId="4" fillId="48" borderId="0" applyNumberFormat="0" applyBorder="0" applyAlignment="0" applyProtection="0"/>
    <xf numFmtId="0" fontId="4" fillId="52" borderId="0" applyNumberFormat="0" applyBorder="0" applyAlignment="0" applyProtection="0"/>
    <xf numFmtId="0" fontId="4" fillId="56" borderId="0" applyNumberFormat="0" applyBorder="0" applyAlignment="0" applyProtection="0"/>
    <xf numFmtId="0" fontId="4" fillId="60"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164" fontId="7" fillId="0" borderId="0" applyFont="0" applyFill="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164" fontId="7" fillId="0" borderId="0" applyFont="0" applyFill="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164" fontId="7" fillId="0" borderId="0" applyFont="0" applyFill="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164" fontId="7" fillId="0" borderId="0" applyFont="0" applyFill="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36" borderId="149" applyNumberFormat="0" applyFont="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cellStyleXfs>
  <cellXfs count="871">
    <xf numFmtId="0" fontId="0" fillId="0" borderId="0" xfId="0"/>
    <xf numFmtId="171" fontId="8" fillId="3" borderId="0" xfId="3" applyNumberFormat="1" applyFont="1" applyFill="1" applyProtection="1">
      <protection hidden="1"/>
    </xf>
    <xf numFmtId="0" fontId="8" fillId="2" borderId="1" xfId="3" applyFont="1" applyFill="1" applyBorder="1" applyProtection="1">
      <protection hidden="1"/>
    </xf>
    <xf numFmtId="171" fontId="8" fillId="2" borderId="1" xfId="3" applyNumberFormat="1" applyFont="1" applyFill="1" applyBorder="1" applyProtection="1">
      <protection hidden="1"/>
    </xf>
    <xf numFmtId="170" fontId="8" fillId="2" borderId="1" xfId="3" applyNumberFormat="1" applyFont="1" applyFill="1" applyBorder="1" applyAlignment="1" applyProtection="1">
      <alignment horizontal="center"/>
      <protection hidden="1"/>
    </xf>
    <xf numFmtId="0" fontId="2" fillId="6" borderId="1" xfId="3" applyFont="1" applyFill="1" applyBorder="1" applyProtection="1">
      <protection hidden="1"/>
    </xf>
    <xf numFmtId="170" fontId="4" fillId="6" borderId="16" xfId="3" applyNumberFormat="1" applyFont="1" applyFill="1" applyBorder="1" applyAlignment="1" applyProtection="1">
      <alignment horizontal="center"/>
      <protection hidden="1"/>
    </xf>
    <xf numFmtId="170" fontId="2" fillId="6" borderId="1" xfId="0" applyNumberFormat="1" applyFont="1" applyFill="1" applyBorder="1" applyAlignment="1" applyProtection="1">
      <alignment horizontal="center"/>
      <protection hidden="1"/>
    </xf>
    <xf numFmtId="0" fontId="8" fillId="2" borderId="1" xfId="3" applyFont="1" applyFill="1" applyBorder="1" applyAlignment="1" applyProtection="1">
      <alignment horizontal="left" indent="1"/>
      <protection hidden="1"/>
    </xf>
    <xf numFmtId="170" fontId="0" fillId="2" borderId="1" xfId="0" applyNumberFormat="1" applyFill="1" applyBorder="1" applyAlignment="1" applyProtection="1">
      <alignment horizontal="center"/>
      <protection hidden="1"/>
    </xf>
    <xf numFmtId="170" fontId="8" fillId="2" borderId="7" xfId="3" applyNumberFormat="1" applyFont="1" applyFill="1" applyBorder="1" applyAlignment="1" applyProtection="1">
      <alignment horizontal="center"/>
      <protection hidden="1"/>
    </xf>
    <xf numFmtId="170" fontId="8" fillId="2" borderId="11" xfId="3" applyNumberFormat="1" applyFont="1" applyFill="1" applyBorder="1" applyAlignment="1" applyProtection="1">
      <alignment horizontal="center"/>
      <protection hidden="1"/>
    </xf>
    <xf numFmtId="173" fontId="8" fillId="2" borderId="1" xfId="3" applyNumberFormat="1" applyFont="1" applyFill="1" applyBorder="1" applyProtection="1">
      <protection hidden="1"/>
    </xf>
    <xf numFmtId="0" fontId="9" fillId="2" borderId="5" xfId="3" applyFont="1" applyFill="1" applyBorder="1" applyProtection="1">
      <protection hidden="1"/>
    </xf>
    <xf numFmtId="172" fontId="9" fillId="2" borderId="6" xfId="4" applyNumberFormat="1" applyFont="1" applyFill="1" applyBorder="1" applyProtection="1">
      <protection hidden="1"/>
    </xf>
    <xf numFmtId="172" fontId="8" fillId="2" borderId="6" xfId="4" applyNumberFormat="1" applyFont="1" applyFill="1" applyBorder="1" applyProtection="1">
      <protection hidden="1"/>
    </xf>
    <xf numFmtId="0" fontId="0" fillId="3" borderId="0" xfId="0" applyFill="1" applyProtection="1">
      <protection hidden="1"/>
    </xf>
    <xf numFmtId="0" fontId="3" fillId="3" borderId="0" xfId="0" applyFont="1" applyFill="1" applyProtection="1">
      <protection hidden="1"/>
    </xf>
    <xf numFmtId="166" fontId="0" fillId="3" borderId="0" xfId="1" applyFont="1" applyFill="1" applyBorder="1" applyProtection="1">
      <protection hidden="1"/>
    </xf>
    <xf numFmtId="0" fontId="0" fillId="0" borderId="0" xfId="0" applyProtection="1">
      <protection hidden="1"/>
    </xf>
    <xf numFmtId="0" fontId="2" fillId="6" borderId="0" xfId="0" applyFont="1" applyFill="1" applyAlignment="1" applyProtection="1">
      <alignment horizontal="center"/>
      <protection hidden="1"/>
    </xf>
    <xf numFmtId="170" fontId="1" fillId="2" borderId="1" xfId="0" applyNumberFormat="1" applyFont="1" applyFill="1" applyBorder="1" applyAlignment="1" applyProtection="1">
      <alignment horizontal="center"/>
      <protection hidden="1"/>
    </xf>
    <xf numFmtId="170" fontId="1" fillId="2" borderId="2" xfId="0" applyNumberFormat="1" applyFont="1" applyFill="1" applyBorder="1" applyAlignment="1" applyProtection="1">
      <alignment horizontal="center"/>
      <protection hidden="1"/>
    </xf>
    <xf numFmtId="170" fontId="2" fillId="6" borderId="2" xfId="0" applyNumberFormat="1" applyFont="1" applyFill="1" applyBorder="1" applyAlignment="1" applyProtection="1">
      <alignment horizontal="center"/>
      <protection hidden="1"/>
    </xf>
    <xf numFmtId="9" fontId="0" fillId="6" borderId="1" xfId="0" applyNumberFormat="1" applyFill="1" applyBorder="1" applyProtection="1">
      <protection hidden="1"/>
    </xf>
    <xf numFmtId="10" fontId="0" fillId="2" borderId="1" xfId="0" applyNumberFormat="1" applyFill="1" applyBorder="1" applyProtection="1">
      <protection hidden="1"/>
    </xf>
    <xf numFmtId="0" fontId="3" fillId="0" borderId="0" xfId="0" applyFont="1" applyProtection="1">
      <protection hidden="1"/>
    </xf>
    <xf numFmtId="0" fontId="0" fillId="2" borderId="12" xfId="0" applyFill="1" applyBorder="1" applyProtection="1">
      <protection hidden="1"/>
    </xf>
    <xf numFmtId="0" fontId="4" fillId="6" borderId="0" xfId="0" applyFont="1" applyFill="1" applyProtection="1">
      <protection hidden="1"/>
    </xf>
    <xf numFmtId="170" fontId="2" fillId="6" borderId="11" xfId="0" applyNumberFormat="1" applyFont="1" applyFill="1" applyBorder="1" applyAlignment="1" applyProtection="1">
      <alignment horizontal="center"/>
      <protection hidden="1"/>
    </xf>
    <xf numFmtId="9" fontId="4" fillId="6" borderId="1" xfId="2" applyFont="1" applyFill="1" applyBorder="1" applyProtection="1">
      <protection hidden="1"/>
    </xf>
    <xf numFmtId="0" fontId="0" fillId="2" borderId="10" xfId="0" applyFill="1" applyBorder="1" applyProtection="1">
      <protection hidden="1"/>
    </xf>
    <xf numFmtId="0" fontId="2" fillId="6" borderId="0" xfId="0" applyFont="1" applyFill="1" applyProtection="1">
      <protection hidden="1"/>
    </xf>
    <xf numFmtId="0" fontId="0" fillId="2" borderId="1" xfId="0" applyFill="1" applyBorder="1" applyProtection="1">
      <protection hidden="1"/>
    </xf>
    <xf numFmtId="170" fontId="1" fillId="3" borderId="0" xfId="0" applyNumberFormat="1" applyFont="1" applyFill="1" applyAlignment="1" applyProtection="1">
      <alignment horizontal="center"/>
      <protection hidden="1"/>
    </xf>
    <xf numFmtId="170" fontId="0" fillId="2" borderId="1" xfId="0" applyNumberFormat="1" applyFill="1" applyBorder="1" applyProtection="1">
      <protection hidden="1"/>
    </xf>
    <xf numFmtId="0" fontId="0" fillId="2" borderId="0" xfId="0" applyFill="1" applyProtection="1">
      <protection hidden="1"/>
    </xf>
    <xf numFmtId="9" fontId="0" fillId="5" borderId="1" xfId="0" applyNumberFormat="1" applyFill="1" applyBorder="1" applyProtection="1">
      <protection locked="0" hidden="1"/>
    </xf>
    <xf numFmtId="0" fontId="11" fillId="0" borderId="0" xfId="6"/>
    <xf numFmtId="175" fontId="11" fillId="0" borderId="0" xfId="6" applyNumberFormat="1"/>
    <xf numFmtId="176" fontId="12" fillId="0" borderId="17" xfId="6" applyNumberFormat="1" applyFont="1" applyBorder="1"/>
    <xf numFmtId="0" fontId="12" fillId="0" borderId="18" xfId="6" applyFont="1" applyBorder="1"/>
    <xf numFmtId="176" fontId="13" fillId="0" borderId="19" xfId="6" applyNumberFormat="1" applyFont="1" applyBorder="1" applyAlignment="1">
      <alignment horizontal="center"/>
    </xf>
    <xf numFmtId="176" fontId="12" fillId="0" borderId="0" xfId="6" applyNumberFormat="1" applyFont="1"/>
    <xf numFmtId="9" fontId="12" fillId="0" borderId="0" xfId="6" applyNumberFormat="1" applyFont="1"/>
    <xf numFmtId="9" fontId="12" fillId="0" borderId="0" xfId="6" applyNumberFormat="1" applyFont="1" applyAlignment="1">
      <alignment horizontal="center"/>
    </xf>
    <xf numFmtId="0" fontId="12" fillId="0" borderId="0" xfId="6" applyFont="1"/>
    <xf numFmtId="0" fontId="12" fillId="0" borderId="0" xfId="6" applyFont="1" applyAlignment="1">
      <alignment horizontal="center"/>
    </xf>
    <xf numFmtId="169" fontId="12" fillId="0" borderId="0" xfId="6" applyNumberFormat="1" applyFont="1"/>
    <xf numFmtId="167" fontId="12" fillId="0" borderId="0" xfId="6" applyNumberFormat="1" applyFont="1" applyAlignment="1">
      <alignment horizontal="right"/>
    </xf>
    <xf numFmtId="176" fontId="12" fillId="0" borderId="20" xfId="6" applyNumberFormat="1" applyFont="1" applyBorder="1"/>
    <xf numFmtId="176" fontId="12" fillId="0" borderId="21" xfId="6" applyNumberFormat="1" applyFont="1" applyBorder="1"/>
    <xf numFmtId="9" fontId="13" fillId="0" borderId="0" xfId="6" applyNumberFormat="1" applyFont="1"/>
    <xf numFmtId="177" fontId="12" fillId="9" borderId="0" xfId="6" applyNumberFormat="1" applyFont="1" applyFill="1" applyAlignment="1">
      <alignment horizontal="center"/>
    </xf>
    <xf numFmtId="169" fontId="12" fillId="9" borderId="0" xfId="6" applyNumberFormat="1" applyFont="1" applyFill="1"/>
    <xf numFmtId="9" fontId="12" fillId="9" borderId="0" xfId="6" applyNumberFormat="1" applyFont="1" applyFill="1" applyAlignment="1">
      <alignment horizontal="center"/>
    </xf>
    <xf numFmtId="0" fontId="13" fillId="0" borderId="0" xfId="6" applyFont="1" applyAlignment="1">
      <alignment horizontal="center"/>
    </xf>
    <xf numFmtId="0" fontId="13" fillId="0" borderId="0" xfId="6" applyFont="1"/>
    <xf numFmtId="0" fontId="11" fillId="0" borderId="22" xfId="6" applyBorder="1"/>
    <xf numFmtId="10" fontId="11" fillId="0" borderId="1" xfId="6" applyNumberFormat="1" applyBorder="1"/>
    <xf numFmtId="0" fontId="11" fillId="0" borderId="1" xfId="6" applyBorder="1"/>
    <xf numFmtId="0" fontId="11" fillId="0" borderId="23" xfId="6" applyBorder="1"/>
    <xf numFmtId="0" fontId="14" fillId="0" borderId="24" xfId="6" applyFont="1" applyBorder="1"/>
    <xf numFmtId="0" fontId="14" fillId="0" borderId="25" xfId="6" applyFont="1" applyBorder="1"/>
    <xf numFmtId="0" fontId="14" fillId="0" borderId="26" xfId="6" applyFont="1" applyBorder="1"/>
    <xf numFmtId="0" fontId="14" fillId="0" borderId="0" xfId="6" applyFont="1"/>
    <xf numFmtId="0" fontId="11" fillId="0" borderId="27" xfId="6" applyBorder="1"/>
    <xf numFmtId="0" fontId="11" fillId="0" borderId="28" xfId="6" applyBorder="1"/>
    <xf numFmtId="0" fontId="11" fillId="0" borderId="29" xfId="6" applyBorder="1"/>
    <xf numFmtId="177" fontId="12" fillId="0" borderId="0" xfId="6" applyNumberFormat="1" applyFont="1" applyAlignment="1">
      <alignment horizontal="center"/>
    </xf>
    <xf numFmtId="167" fontId="12" fillId="0" borderId="0" xfId="6" applyNumberFormat="1" applyFont="1"/>
    <xf numFmtId="175" fontId="13" fillId="0" borderId="0" xfId="6" applyNumberFormat="1" applyFont="1"/>
    <xf numFmtId="0" fontId="11" fillId="2" borderId="0" xfId="6" applyFill="1"/>
    <xf numFmtId="175" fontId="11" fillId="2" borderId="0" xfId="6" applyNumberFormat="1" applyFill="1"/>
    <xf numFmtId="10" fontId="11" fillId="0" borderId="0" xfId="6" applyNumberFormat="1" applyAlignment="1">
      <alignment horizontal="center"/>
    </xf>
    <xf numFmtId="175" fontId="12" fillId="0" borderId="13" xfId="6" applyNumberFormat="1" applyFont="1" applyBorder="1"/>
    <xf numFmtId="0" fontId="7" fillId="0" borderId="0" xfId="6" applyFont="1" applyAlignment="1">
      <alignment horizontal="center"/>
    </xf>
    <xf numFmtId="175" fontId="14" fillId="2" borderId="0" xfId="6" applyNumberFormat="1" applyFont="1" applyFill="1"/>
    <xf numFmtId="177" fontId="12" fillId="0" borderId="0" xfId="7" applyNumberFormat="1" applyFont="1"/>
    <xf numFmtId="175" fontId="7" fillId="2" borderId="0" xfId="8" applyNumberFormat="1" applyFont="1" applyFill="1"/>
    <xf numFmtId="176" fontId="11" fillId="2" borderId="0" xfId="6" applyNumberFormat="1" applyFill="1"/>
    <xf numFmtId="176" fontId="12" fillId="9" borderId="0" xfId="6" applyNumberFormat="1" applyFont="1" applyFill="1"/>
    <xf numFmtId="0" fontId="12" fillId="10" borderId="30" xfId="6" applyFont="1" applyFill="1" applyBorder="1" applyAlignment="1">
      <alignment horizontal="center"/>
    </xf>
    <xf numFmtId="0" fontId="12" fillId="10" borderId="31" xfId="6" applyFont="1" applyFill="1" applyBorder="1" applyAlignment="1">
      <alignment horizontal="center"/>
    </xf>
    <xf numFmtId="0" fontId="13" fillId="10" borderId="31" xfId="6" applyFont="1" applyFill="1" applyBorder="1" applyAlignment="1">
      <alignment horizontal="center"/>
    </xf>
    <xf numFmtId="0" fontId="13" fillId="10" borderId="32" xfId="6" applyFont="1" applyFill="1" applyBorder="1" applyAlignment="1">
      <alignment horizontal="left"/>
    </xf>
    <xf numFmtId="0" fontId="12" fillId="10" borderId="33" xfId="6" applyFont="1" applyFill="1" applyBorder="1" applyAlignment="1">
      <alignment horizontal="center"/>
    </xf>
    <xf numFmtId="0" fontId="12" fillId="10" borderId="34" xfId="6" applyFont="1" applyFill="1" applyBorder="1" applyAlignment="1">
      <alignment horizontal="center"/>
    </xf>
    <xf numFmtId="0" fontId="13" fillId="10" borderId="34" xfId="6" applyFont="1" applyFill="1" applyBorder="1" applyAlignment="1">
      <alignment horizontal="center"/>
    </xf>
    <xf numFmtId="0" fontId="13" fillId="10" borderId="35" xfId="6" applyFont="1" applyFill="1" applyBorder="1" applyAlignment="1">
      <alignment horizontal="left"/>
    </xf>
    <xf numFmtId="0" fontId="13" fillId="11" borderId="0" xfId="6" applyFont="1" applyFill="1" applyAlignment="1">
      <alignment horizontal="center"/>
    </xf>
    <xf numFmtId="0" fontId="12" fillId="11" borderId="0" xfId="6" applyFont="1" applyFill="1" applyAlignment="1">
      <alignment horizontal="center"/>
    </xf>
    <xf numFmtId="0" fontId="13" fillId="11" borderId="0" xfId="6" applyFont="1" applyFill="1" applyAlignment="1">
      <alignment horizontal="left"/>
    </xf>
    <xf numFmtId="0" fontId="7" fillId="0" borderId="0" xfId="9"/>
    <xf numFmtId="180" fontId="0" fillId="0" borderId="0" xfId="8" applyNumberFormat="1" applyFont="1" applyFill="1"/>
    <xf numFmtId="0" fontId="22" fillId="0" borderId="0" xfId="9" applyFont="1"/>
    <xf numFmtId="170" fontId="23" fillId="3" borderId="13" xfId="9" applyNumberFormat="1" applyFont="1" applyFill="1" applyBorder="1" applyAlignment="1">
      <alignment horizontal="left" vertical="top"/>
    </xf>
    <xf numFmtId="0" fontId="23" fillId="3" borderId="13" xfId="9" applyFont="1" applyFill="1" applyBorder="1" applyAlignment="1">
      <alignment horizontal="left" vertical="top"/>
    </xf>
    <xf numFmtId="0" fontId="23" fillId="3" borderId="0" xfId="9" applyFont="1" applyFill="1" applyAlignment="1">
      <alignment horizontal="left" vertical="center"/>
    </xf>
    <xf numFmtId="170" fontId="23" fillId="3" borderId="43" xfId="9" applyNumberFormat="1" applyFont="1" applyFill="1" applyBorder="1" applyAlignment="1">
      <alignment horizontal="left"/>
    </xf>
    <xf numFmtId="170" fontId="23" fillId="9" borderId="43" xfId="9" applyNumberFormat="1" applyFont="1" applyFill="1" applyBorder="1" applyAlignment="1">
      <alignment horizontal="left"/>
    </xf>
    <xf numFmtId="0" fontId="23" fillId="3" borderId="42" xfId="9" applyFont="1" applyFill="1" applyBorder="1" applyAlignment="1">
      <alignment horizontal="left" vertical="center"/>
    </xf>
    <xf numFmtId="0" fontId="7" fillId="3" borderId="42" xfId="9" applyFill="1" applyBorder="1" applyAlignment="1">
      <alignment horizontal="left"/>
    </xf>
    <xf numFmtId="0" fontId="7" fillId="0" borderId="0" xfId="9" applyAlignment="1">
      <alignment horizontal="left"/>
    </xf>
    <xf numFmtId="180" fontId="24" fillId="0" borderId="0" xfId="10" applyNumberFormat="1" applyFont="1" applyBorder="1" applyAlignment="1">
      <alignment horizontal="center"/>
    </xf>
    <xf numFmtId="0" fontId="7" fillId="0" borderId="0" xfId="11"/>
    <xf numFmtId="171" fontId="7" fillId="18" borderId="41" xfId="9" applyNumberFormat="1" applyFill="1" applyBorder="1" applyAlignment="1">
      <alignment horizontal="center"/>
    </xf>
    <xf numFmtId="171" fontId="7" fillId="0" borderId="41" xfId="9" applyNumberFormat="1" applyBorder="1" applyAlignment="1" applyProtection="1">
      <alignment horizontal="center"/>
      <protection locked="0"/>
    </xf>
    <xf numFmtId="0" fontId="14" fillId="18" borderId="41" xfId="9" applyFont="1" applyFill="1" applyBorder="1"/>
    <xf numFmtId="2" fontId="7" fillId="0" borderId="0" xfId="11" applyNumberFormat="1" applyAlignment="1">
      <alignment horizontal="center"/>
    </xf>
    <xf numFmtId="171" fontId="14" fillId="18" borderId="41" xfId="9" applyNumberFormat="1" applyFont="1" applyFill="1" applyBorder="1" applyAlignment="1">
      <alignment horizontal="center"/>
    </xf>
    <xf numFmtId="0" fontId="7" fillId="0" borderId="12" xfId="9" applyBorder="1"/>
    <xf numFmtId="0" fontId="3" fillId="0" borderId="0" xfId="11" applyFont="1" applyAlignment="1">
      <alignment wrapText="1"/>
    </xf>
    <xf numFmtId="0" fontId="7" fillId="0" borderId="0" xfId="11" applyAlignment="1">
      <alignment wrapText="1"/>
    </xf>
    <xf numFmtId="0" fontId="3" fillId="0" borderId="0" xfId="11" applyFont="1"/>
    <xf numFmtId="0" fontId="14" fillId="0" borderId="0" xfId="11" applyFont="1" applyAlignment="1">
      <alignment horizontal="center"/>
    </xf>
    <xf numFmtId="0" fontId="22" fillId="0" borderId="0" xfId="11" applyFont="1"/>
    <xf numFmtId="0" fontId="14" fillId="0" borderId="0" xfId="9" applyFont="1" applyAlignment="1">
      <alignment horizontal="center"/>
    </xf>
    <xf numFmtId="0" fontId="14" fillId="0" borderId="0" xfId="9" applyFont="1"/>
    <xf numFmtId="0" fontId="17" fillId="12" borderId="41" xfId="11" applyFont="1" applyFill="1" applyBorder="1" applyAlignment="1" applyProtection="1">
      <alignment horizontal="center"/>
      <protection locked="0"/>
    </xf>
    <xf numFmtId="0" fontId="21" fillId="0" borderId="0" xfId="11" applyFont="1"/>
    <xf numFmtId="10" fontId="21" fillId="0" borderId="0" xfId="11" applyNumberFormat="1" applyFont="1"/>
    <xf numFmtId="9" fontId="21" fillId="0" borderId="0" xfId="11" applyNumberFormat="1" applyFont="1"/>
    <xf numFmtId="10" fontId="21" fillId="0" borderId="0" xfId="7" applyNumberFormat="1" applyFont="1"/>
    <xf numFmtId="0" fontId="25" fillId="0" borderId="0" xfId="11" applyFont="1"/>
    <xf numFmtId="166" fontId="17" fillId="12" borderId="38" xfId="11" applyNumberFormat="1" applyFont="1" applyFill="1" applyBorder="1" applyProtection="1">
      <protection locked="0"/>
    </xf>
    <xf numFmtId="49" fontId="0" fillId="0" borderId="0" xfId="1" applyNumberFormat="1" applyFont="1" applyAlignment="1">
      <alignment horizontal="left" wrapText="1"/>
    </xf>
    <xf numFmtId="166" fontId="17" fillId="12" borderId="51" xfId="11" applyNumberFormat="1" applyFont="1" applyFill="1" applyBorder="1" applyProtection="1">
      <protection locked="0"/>
    </xf>
    <xf numFmtId="166" fontId="17" fillId="12" borderId="52" xfId="11" applyNumberFormat="1" applyFont="1" applyFill="1" applyBorder="1" applyAlignment="1" applyProtection="1">
      <alignment horizontal="center"/>
      <protection locked="0"/>
    </xf>
    <xf numFmtId="166" fontId="17" fillId="12" borderId="52" xfId="11" applyNumberFormat="1" applyFont="1" applyFill="1" applyBorder="1" applyProtection="1">
      <protection locked="0"/>
    </xf>
    <xf numFmtId="166" fontId="17" fillId="12" borderId="53" xfId="11" applyNumberFormat="1" applyFont="1" applyFill="1" applyBorder="1" applyProtection="1">
      <protection locked="0"/>
    </xf>
    <xf numFmtId="166" fontId="17" fillId="12" borderId="54" xfId="11" applyNumberFormat="1" applyFont="1" applyFill="1" applyBorder="1" applyProtection="1">
      <protection locked="0"/>
    </xf>
    <xf numFmtId="0" fontId="0" fillId="3" borderId="16" xfId="0" applyFill="1" applyBorder="1" applyAlignment="1" applyProtection="1">
      <alignment horizontal="center"/>
      <protection hidden="1"/>
    </xf>
    <xf numFmtId="0" fontId="17" fillId="12" borderId="4" xfId="11" applyFont="1" applyFill="1" applyBorder="1" applyAlignment="1" applyProtection="1">
      <alignment horizontal="center"/>
      <protection locked="0"/>
    </xf>
    <xf numFmtId="166" fontId="17" fillId="12" borderId="4" xfId="11" applyNumberFormat="1" applyFont="1" applyFill="1" applyBorder="1" applyProtection="1">
      <protection locked="0"/>
    </xf>
    <xf numFmtId="0" fontId="0" fillId="4" borderId="16" xfId="0" applyFill="1" applyBorder="1" applyAlignment="1" applyProtection="1">
      <alignment horizontal="center"/>
      <protection hidden="1"/>
    </xf>
    <xf numFmtId="0" fontId="0" fillId="4" borderId="14" xfId="0" applyFill="1" applyBorder="1" applyAlignment="1" applyProtection="1">
      <alignment horizontal="center"/>
      <protection hidden="1"/>
    </xf>
    <xf numFmtId="0" fontId="0" fillId="3" borderId="14" xfId="0" applyFill="1" applyBorder="1" applyAlignment="1" applyProtection="1">
      <alignment horizontal="center"/>
      <protection hidden="1"/>
    </xf>
    <xf numFmtId="0" fontId="0" fillId="3" borderId="14" xfId="0" applyFill="1" applyBorder="1" applyAlignment="1" applyProtection="1">
      <alignment horizontal="center" vertical="center"/>
      <protection hidden="1"/>
    </xf>
    <xf numFmtId="180" fontId="0" fillId="0" borderId="0" xfId="1" applyNumberFormat="1" applyFont="1" applyFill="1"/>
    <xf numFmtId="0" fontId="7" fillId="0" borderId="0" xfId="0" applyFont="1"/>
    <xf numFmtId="170" fontId="23" fillId="0" borderId="55" xfId="0" applyNumberFormat="1" applyFont="1" applyBorder="1" applyAlignment="1">
      <alignment horizontal="left"/>
    </xf>
    <xf numFmtId="0" fontId="23" fillId="0" borderId="0" xfId="0" applyFont="1" applyAlignment="1">
      <alignment horizontal="left" vertical="center"/>
    </xf>
    <xf numFmtId="0" fontId="23" fillId="0" borderId="13" xfId="0" applyFont="1" applyBorder="1" applyAlignment="1">
      <alignment horizontal="left" vertical="top"/>
    </xf>
    <xf numFmtId="166" fontId="17" fillId="12" borderId="1" xfId="11" applyNumberFormat="1" applyFont="1" applyFill="1" applyBorder="1" applyProtection="1">
      <protection locked="0"/>
    </xf>
    <xf numFmtId="0" fontId="2" fillId="8" borderId="2" xfId="0" applyFont="1" applyFill="1" applyBorder="1" applyAlignment="1" applyProtection="1">
      <alignment horizontal="center"/>
      <protection hidden="1"/>
    </xf>
    <xf numFmtId="0" fontId="8" fillId="20" borderId="16" xfId="0" applyFont="1" applyFill="1" applyBorder="1" applyAlignment="1" applyProtection="1">
      <alignment horizontal="right"/>
      <protection hidden="1"/>
    </xf>
    <xf numFmtId="0" fontId="2" fillId="8" borderId="1" xfId="0" applyFont="1" applyFill="1" applyBorder="1" applyAlignment="1" applyProtection="1">
      <alignment horizontal="center"/>
      <protection hidden="1"/>
    </xf>
    <xf numFmtId="0" fontId="8" fillId="20" borderId="10" xfId="0" applyFont="1" applyFill="1" applyBorder="1" applyAlignment="1" applyProtection="1">
      <alignment horizontal="right"/>
      <protection hidden="1"/>
    </xf>
    <xf numFmtId="0" fontId="8" fillId="20" borderId="11" xfId="0" applyFont="1" applyFill="1" applyBorder="1" applyAlignment="1" applyProtection="1">
      <alignment horizontal="right"/>
      <protection hidden="1"/>
    </xf>
    <xf numFmtId="0" fontId="2" fillId="8" borderId="16" xfId="0" applyFont="1" applyFill="1" applyBorder="1" applyProtection="1">
      <protection hidden="1"/>
    </xf>
    <xf numFmtId="1" fontId="17" fillId="16" borderId="1" xfId="13" applyNumberFormat="1" applyFont="1" applyFill="1" applyBorder="1" applyAlignment="1" applyProtection="1">
      <alignment horizontal="center"/>
      <protection locked="0"/>
    </xf>
    <xf numFmtId="179" fontId="17" fillId="16" borderId="1" xfId="13" applyNumberFormat="1" applyFont="1" applyFill="1" applyBorder="1" applyAlignment="1" applyProtection="1">
      <alignment horizontal="center"/>
      <protection locked="0"/>
    </xf>
    <xf numFmtId="0" fontId="17" fillId="16" borderId="1" xfId="11" applyFont="1" applyFill="1" applyBorder="1" applyAlignment="1" applyProtection="1">
      <alignment horizontal="center"/>
      <protection locked="0"/>
    </xf>
    <xf numFmtId="166" fontId="17" fillId="16" borderId="1" xfId="11" applyNumberFormat="1" applyFont="1" applyFill="1" applyBorder="1" applyProtection="1">
      <protection locked="0"/>
    </xf>
    <xf numFmtId="166" fontId="17" fillId="12" borderId="65" xfId="11" applyNumberFormat="1" applyFont="1" applyFill="1" applyBorder="1" applyProtection="1">
      <protection locked="0"/>
    </xf>
    <xf numFmtId="0" fontId="7" fillId="3" borderId="1" xfId="11" applyFill="1" applyBorder="1" applyAlignment="1" applyProtection="1">
      <alignment horizontal="right"/>
      <protection locked="0"/>
    </xf>
    <xf numFmtId="166" fontId="17" fillId="12" borderId="67" xfId="11" applyNumberFormat="1" applyFont="1" applyFill="1" applyBorder="1" applyProtection="1">
      <protection locked="0"/>
    </xf>
    <xf numFmtId="166" fontId="17" fillId="12" borderId="67" xfId="11" applyNumberFormat="1" applyFont="1" applyFill="1" applyBorder="1" applyAlignment="1" applyProtection="1">
      <alignment horizontal="center"/>
      <protection locked="0"/>
    </xf>
    <xf numFmtId="166" fontId="17" fillId="12" borderId="68" xfId="11" applyNumberFormat="1" applyFont="1" applyFill="1" applyBorder="1" applyAlignment="1" applyProtection="1">
      <alignment horizontal="center"/>
      <protection locked="0"/>
    </xf>
    <xf numFmtId="166" fontId="17" fillId="12" borderId="39" xfId="11" applyNumberFormat="1" applyFont="1" applyFill="1" applyBorder="1" applyProtection="1">
      <protection locked="0"/>
    </xf>
    <xf numFmtId="171" fontId="7" fillId="0" borderId="0" xfId="11" applyNumberFormat="1" applyAlignment="1">
      <alignment horizontal="center"/>
    </xf>
    <xf numFmtId="0" fontId="14" fillId="18" borderId="50" xfId="11" applyFont="1" applyFill="1" applyBorder="1"/>
    <xf numFmtId="2" fontId="7" fillId="0" borderId="50" xfId="11" applyNumberFormat="1" applyBorder="1"/>
    <xf numFmtId="0" fontId="12" fillId="0" borderId="0" xfId="11" applyFont="1"/>
    <xf numFmtId="176" fontId="40" fillId="0" borderId="0" xfId="11" applyNumberFormat="1" applyFont="1"/>
    <xf numFmtId="176" fontId="13" fillId="0" borderId="0" xfId="11" applyNumberFormat="1" applyFont="1"/>
    <xf numFmtId="0" fontId="41" fillId="0" borderId="0" xfId="11" applyFont="1"/>
    <xf numFmtId="10" fontId="12" fillId="0" borderId="0" xfId="11" applyNumberFormat="1" applyFont="1"/>
    <xf numFmtId="176" fontId="12" fillId="0" borderId="0" xfId="11" applyNumberFormat="1" applyFont="1" applyAlignment="1">
      <alignment horizontal="right"/>
    </xf>
    <xf numFmtId="0" fontId="13" fillId="0" borderId="0" xfId="11" applyFont="1"/>
    <xf numFmtId="0" fontId="13" fillId="0" borderId="0" xfId="11" applyFont="1" applyAlignment="1">
      <alignment horizontal="center"/>
    </xf>
    <xf numFmtId="0" fontId="12" fillId="0" borderId="0" xfId="11" applyFont="1" applyAlignment="1">
      <alignment horizontal="center"/>
    </xf>
    <xf numFmtId="176" fontId="12" fillId="23" borderId="67" xfId="11" applyNumberFormat="1" applyFont="1" applyFill="1" applyBorder="1"/>
    <xf numFmtId="176" fontId="12" fillId="23" borderId="72" xfId="11" applyNumberFormat="1" applyFont="1" applyFill="1" applyBorder="1"/>
    <xf numFmtId="176" fontId="12" fillId="24" borderId="72" xfId="11" applyNumberFormat="1" applyFont="1" applyFill="1" applyBorder="1"/>
    <xf numFmtId="0" fontId="14" fillId="18" borderId="1" xfId="11" applyFont="1" applyFill="1" applyBorder="1"/>
    <xf numFmtId="2" fontId="7" fillId="0" borderId="1" xfId="11" applyNumberFormat="1" applyBorder="1"/>
    <xf numFmtId="176" fontId="12" fillId="0" borderId="0" xfId="11" applyNumberFormat="1" applyFont="1"/>
    <xf numFmtId="171" fontId="14" fillId="18" borderId="1" xfId="11" applyNumberFormat="1" applyFont="1" applyFill="1" applyBorder="1" applyAlignment="1">
      <alignment horizontal="center"/>
    </xf>
    <xf numFmtId="181" fontId="0" fillId="0" borderId="1" xfId="13" applyFont="1" applyFill="1" applyBorder="1" applyAlignment="1" applyProtection="1">
      <alignment horizontal="center"/>
      <protection locked="0"/>
    </xf>
    <xf numFmtId="0" fontId="14" fillId="0" borderId="0" xfId="11" applyFont="1"/>
    <xf numFmtId="0" fontId="14" fillId="0" borderId="0" xfId="11" applyFont="1" applyProtection="1">
      <protection locked="0"/>
    </xf>
    <xf numFmtId="171" fontId="7" fillId="18" borderId="1" xfId="11" applyNumberFormat="1" applyFill="1" applyBorder="1" applyAlignment="1">
      <alignment horizontal="center"/>
    </xf>
    <xf numFmtId="171" fontId="7" fillId="0" borderId="1" xfId="11" applyNumberFormat="1" applyBorder="1" applyAlignment="1" applyProtection="1">
      <alignment horizontal="center"/>
      <protection locked="0"/>
    </xf>
    <xf numFmtId="0" fontId="7" fillId="0" borderId="12" xfId="11" applyBorder="1"/>
    <xf numFmtId="9" fontId="13" fillId="0" borderId="0" xfId="11" applyNumberFormat="1" applyFont="1"/>
    <xf numFmtId="177" fontId="12" fillId="9" borderId="0" xfId="7" applyNumberFormat="1" applyFont="1" applyFill="1"/>
    <xf numFmtId="0" fontId="16" fillId="13" borderId="0" xfId="11" applyFont="1" applyFill="1" applyAlignment="1" applyProtection="1">
      <alignment horizontal="left"/>
      <protection hidden="1"/>
    </xf>
    <xf numFmtId="0" fontId="17" fillId="14" borderId="0" xfId="11" applyFont="1" applyFill="1" applyAlignment="1" applyProtection="1">
      <alignment horizontal="left" indent="1"/>
      <protection hidden="1"/>
    </xf>
    <xf numFmtId="0" fontId="16" fillId="12" borderId="16" xfId="11" applyFont="1" applyFill="1" applyBorder="1" applyAlignment="1" applyProtection="1">
      <alignment horizontal="left"/>
      <protection hidden="1"/>
    </xf>
    <xf numFmtId="0" fontId="16" fillId="12" borderId="0" xfId="11" applyFont="1" applyFill="1" applyAlignment="1" applyProtection="1">
      <alignment horizontal="center" vertical="center" wrapText="1"/>
      <protection hidden="1"/>
    </xf>
    <xf numFmtId="0" fontId="16" fillId="12" borderId="14" xfId="11" applyFont="1" applyFill="1" applyBorder="1" applyAlignment="1" applyProtection="1">
      <alignment horizontal="center" vertical="center" wrapText="1"/>
      <protection hidden="1"/>
    </xf>
    <xf numFmtId="0" fontId="18" fillId="14" borderId="0" xfId="11" applyFont="1" applyFill="1" applyAlignment="1" applyProtection="1">
      <alignment horizontal="left" indent="1"/>
      <protection hidden="1"/>
    </xf>
    <xf numFmtId="0" fontId="17" fillId="13" borderId="0" xfId="11" applyFont="1" applyFill="1" applyAlignment="1" applyProtection="1">
      <alignment horizontal="left"/>
      <protection hidden="1"/>
    </xf>
    <xf numFmtId="179" fontId="17" fillId="13" borderId="1" xfId="5" applyNumberFormat="1" applyFont="1" applyFill="1" applyBorder="1" applyProtection="1">
      <protection hidden="1"/>
    </xf>
    <xf numFmtId="166" fontId="17" fillId="13" borderId="0" xfId="11" applyNumberFormat="1" applyFont="1" applyFill="1" applyProtection="1">
      <protection hidden="1"/>
    </xf>
    <xf numFmtId="179" fontId="17" fillId="13" borderId="36" xfId="5" applyNumberFormat="1" applyFont="1" applyFill="1" applyBorder="1" applyProtection="1">
      <protection hidden="1"/>
    </xf>
    <xf numFmtId="179" fontId="17" fillId="13" borderId="37" xfId="5" applyNumberFormat="1" applyFont="1" applyFill="1" applyBorder="1" applyProtection="1">
      <protection hidden="1"/>
    </xf>
    <xf numFmtId="0" fontId="17" fillId="12" borderId="16" xfId="11" applyFont="1" applyFill="1" applyBorder="1" applyAlignment="1" applyProtection="1">
      <alignment horizontal="left"/>
      <protection hidden="1"/>
    </xf>
    <xf numFmtId="0" fontId="17" fillId="12" borderId="0" xfId="11" applyFont="1" applyFill="1" applyAlignment="1" applyProtection="1">
      <alignment horizontal="center"/>
      <protection hidden="1"/>
    </xf>
    <xf numFmtId="0" fontId="17" fillId="12" borderId="14" xfId="11" applyFont="1" applyFill="1" applyBorder="1" applyAlignment="1" applyProtection="1">
      <alignment horizontal="center"/>
      <protection hidden="1"/>
    </xf>
    <xf numFmtId="0" fontId="18" fillId="13" borderId="16" xfId="11" applyFont="1" applyFill="1" applyBorder="1" applyAlignment="1" applyProtection="1">
      <alignment horizontal="left"/>
      <protection hidden="1"/>
    </xf>
    <xf numFmtId="0" fontId="17" fillId="13" borderId="0" xfId="11" applyFont="1" applyFill="1" applyAlignment="1" applyProtection="1">
      <alignment horizontal="center"/>
      <protection hidden="1"/>
    </xf>
    <xf numFmtId="0" fontId="17" fillId="13" borderId="14" xfId="11" applyFont="1" applyFill="1" applyBorder="1" applyAlignment="1" applyProtection="1">
      <alignment horizontal="center"/>
      <protection hidden="1"/>
    </xf>
    <xf numFmtId="0" fontId="7" fillId="14" borderId="0" xfId="11" applyFill="1" applyProtection="1">
      <protection hidden="1"/>
    </xf>
    <xf numFmtId="0" fontId="17" fillId="13" borderId="16" xfId="11" applyFont="1" applyFill="1" applyBorder="1" applyAlignment="1" applyProtection="1">
      <alignment horizontal="left"/>
      <protection hidden="1"/>
    </xf>
    <xf numFmtId="166" fontId="17" fillId="13" borderId="14" xfId="11" applyNumberFormat="1" applyFont="1" applyFill="1" applyBorder="1" applyAlignment="1" applyProtection="1">
      <alignment horizontal="center"/>
      <protection hidden="1"/>
    </xf>
    <xf numFmtId="166" fontId="18" fillId="13" borderId="14" xfId="11" applyNumberFormat="1" applyFont="1" applyFill="1" applyBorder="1" applyAlignment="1" applyProtection="1">
      <alignment horizontal="center"/>
      <protection hidden="1"/>
    </xf>
    <xf numFmtId="0" fontId="17" fillId="12" borderId="0" xfId="11" applyFont="1" applyFill="1" applyAlignment="1" applyProtection="1">
      <alignment horizontal="left"/>
      <protection hidden="1"/>
    </xf>
    <xf numFmtId="0" fontId="7" fillId="15" borderId="14" xfId="11" applyFill="1" applyBorder="1" applyProtection="1">
      <protection hidden="1"/>
    </xf>
    <xf numFmtId="0" fontId="16" fillId="12" borderId="16" xfId="11" applyFont="1" applyFill="1" applyBorder="1" applyAlignment="1" applyProtection="1">
      <alignment horizontal="left" vertical="center"/>
      <protection hidden="1"/>
    </xf>
    <xf numFmtId="0" fontId="16" fillId="13" borderId="0" xfId="11" applyFont="1" applyFill="1" applyAlignment="1" applyProtection="1">
      <alignment horizontal="left" vertical="center"/>
      <protection hidden="1"/>
    </xf>
    <xf numFmtId="0" fontId="20" fillId="13" borderId="0" xfId="11" applyFont="1" applyFill="1" applyAlignment="1" applyProtection="1">
      <alignment horizontal="center" vertical="center" wrapText="1"/>
      <protection hidden="1"/>
    </xf>
    <xf numFmtId="166" fontId="17" fillId="13" borderId="1" xfId="11" applyNumberFormat="1" applyFont="1" applyFill="1" applyBorder="1" applyProtection="1">
      <protection hidden="1"/>
    </xf>
    <xf numFmtId="166" fontId="17" fillId="15" borderId="0" xfId="11" applyNumberFormat="1" applyFont="1" applyFill="1" applyProtection="1">
      <protection hidden="1"/>
    </xf>
    <xf numFmtId="166" fontId="17" fillId="14" borderId="43" xfId="11" applyNumberFormat="1" applyFont="1" applyFill="1" applyBorder="1" applyProtection="1">
      <protection hidden="1"/>
    </xf>
    <xf numFmtId="166" fontId="17" fillId="14" borderId="0" xfId="11" applyNumberFormat="1" applyFont="1" applyFill="1" applyProtection="1">
      <protection hidden="1"/>
    </xf>
    <xf numFmtId="0" fontId="17" fillId="12" borderId="16" xfId="11" applyFont="1" applyFill="1" applyBorder="1" applyAlignment="1" applyProtection="1">
      <alignment horizontal="left" vertical="center"/>
      <protection hidden="1"/>
    </xf>
    <xf numFmtId="0" fontId="17" fillId="12" borderId="0" xfId="11" applyFont="1" applyFill="1" applyAlignment="1" applyProtection="1">
      <alignment horizontal="left" vertical="center"/>
      <protection hidden="1"/>
    </xf>
    <xf numFmtId="166" fontId="17" fillId="12" borderId="0" xfId="11" applyNumberFormat="1" applyFont="1" applyFill="1" applyProtection="1">
      <protection hidden="1"/>
    </xf>
    <xf numFmtId="166" fontId="18" fillId="0" borderId="14" xfId="11" applyNumberFormat="1" applyFont="1" applyBorder="1" applyProtection="1">
      <protection hidden="1"/>
    </xf>
    <xf numFmtId="0" fontId="17" fillId="13" borderId="0" xfId="11" applyFont="1" applyFill="1" applyAlignment="1" applyProtection="1">
      <alignment horizontal="left" vertical="center"/>
      <protection hidden="1"/>
    </xf>
    <xf numFmtId="0" fontId="18" fillId="12" borderId="16" xfId="11" applyFont="1" applyFill="1" applyBorder="1" applyAlignment="1" applyProtection="1">
      <alignment horizontal="left" vertical="center"/>
      <protection hidden="1"/>
    </xf>
    <xf numFmtId="166" fontId="18" fillId="12" borderId="0" xfId="11" applyNumberFormat="1" applyFont="1" applyFill="1" applyAlignment="1" applyProtection="1">
      <alignment horizontal="center" vertical="center" wrapText="1"/>
      <protection hidden="1"/>
    </xf>
    <xf numFmtId="166" fontId="18" fillId="15" borderId="0" xfId="11" applyNumberFormat="1" applyFont="1" applyFill="1" applyAlignment="1" applyProtection="1">
      <alignment horizontal="center" vertical="center" wrapText="1"/>
      <protection hidden="1"/>
    </xf>
    <xf numFmtId="0" fontId="18" fillId="13" borderId="0" xfId="11" applyFont="1" applyFill="1" applyAlignment="1" applyProtection="1">
      <alignment horizontal="left" vertical="center"/>
      <protection hidden="1"/>
    </xf>
    <xf numFmtId="166" fontId="18" fillId="13" borderId="0" xfId="11" applyNumberFormat="1" applyFont="1" applyFill="1" applyAlignment="1" applyProtection="1">
      <alignment horizontal="center" vertical="center" wrapText="1"/>
      <protection hidden="1"/>
    </xf>
    <xf numFmtId="166" fontId="17" fillId="13" borderId="38" xfId="11" applyNumberFormat="1" applyFont="1" applyFill="1" applyBorder="1" applyProtection="1">
      <protection hidden="1"/>
    </xf>
    <xf numFmtId="0" fontId="18" fillId="15" borderId="0" xfId="11" applyFont="1" applyFill="1" applyAlignment="1" applyProtection="1">
      <alignment horizontal="center" wrapText="1"/>
      <protection hidden="1"/>
    </xf>
    <xf numFmtId="0" fontId="14" fillId="15" borderId="0" xfId="11" applyFont="1" applyFill="1" applyAlignment="1" applyProtection="1">
      <alignment horizontal="center"/>
      <protection hidden="1"/>
    </xf>
    <xf numFmtId="0" fontId="17" fillId="15" borderId="14" xfId="11" applyFont="1" applyFill="1" applyBorder="1" applyProtection="1">
      <protection hidden="1"/>
    </xf>
    <xf numFmtId="0" fontId="17" fillId="14" borderId="0" xfId="11" applyFont="1" applyFill="1" applyProtection="1">
      <protection hidden="1"/>
    </xf>
    <xf numFmtId="166" fontId="17" fillId="13" borderId="39" xfId="11" applyNumberFormat="1" applyFont="1" applyFill="1" applyBorder="1" applyProtection="1">
      <protection hidden="1"/>
    </xf>
    <xf numFmtId="0" fontId="18" fillId="12" borderId="16" xfId="11" applyFont="1" applyFill="1" applyBorder="1" applyAlignment="1" applyProtection="1">
      <alignment horizontal="left"/>
      <protection hidden="1"/>
    </xf>
    <xf numFmtId="0" fontId="18" fillId="12" borderId="0" xfId="11" applyFont="1" applyFill="1" applyAlignment="1" applyProtection="1">
      <alignment horizontal="left"/>
      <protection hidden="1"/>
    </xf>
    <xf numFmtId="166" fontId="18" fillId="12" borderId="14" xfId="11" applyNumberFormat="1" applyFont="1" applyFill="1" applyBorder="1" applyProtection="1">
      <protection hidden="1"/>
    </xf>
    <xf numFmtId="0" fontId="18" fillId="13" borderId="0" xfId="11" applyFont="1" applyFill="1" applyAlignment="1" applyProtection="1">
      <alignment horizontal="left"/>
      <protection hidden="1"/>
    </xf>
    <xf numFmtId="0" fontId="16" fillId="12" borderId="0" xfId="11" applyFont="1" applyFill="1" applyAlignment="1" applyProtection="1">
      <alignment horizontal="left"/>
      <protection hidden="1"/>
    </xf>
    <xf numFmtId="0" fontId="16" fillId="12" borderId="0" xfId="11" applyFont="1" applyFill="1" applyAlignment="1" applyProtection="1">
      <alignment horizontal="left" vertical="center"/>
      <protection hidden="1"/>
    </xf>
    <xf numFmtId="0" fontId="7" fillId="15" borderId="0" xfId="11" applyFill="1" applyAlignment="1" applyProtection="1">
      <alignment vertical="center"/>
      <protection hidden="1"/>
    </xf>
    <xf numFmtId="166" fontId="18" fillId="12" borderId="14" xfId="11" applyNumberFormat="1" applyFont="1" applyFill="1" applyBorder="1" applyAlignment="1" applyProtection="1">
      <alignment vertical="center"/>
      <protection hidden="1"/>
    </xf>
    <xf numFmtId="166" fontId="17" fillId="13" borderId="0" xfId="11" applyNumberFormat="1" applyFont="1" applyFill="1" applyAlignment="1" applyProtection="1">
      <alignment vertical="center"/>
      <protection hidden="1"/>
    </xf>
    <xf numFmtId="166" fontId="18" fillId="16" borderId="0" xfId="11" applyNumberFormat="1" applyFont="1" applyFill="1" applyProtection="1">
      <protection hidden="1"/>
    </xf>
    <xf numFmtId="0" fontId="18" fillId="12" borderId="16" xfId="11" applyFont="1" applyFill="1" applyBorder="1" applyAlignment="1" applyProtection="1">
      <alignment horizontal="center"/>
      <protection hidden="1"/>
    </xf>
    <xf numFmtId="0" fontId="18" fillId="12" borderId="0" xfId="11" applyFont="1" applyFill="1" applyAlignment="1" applyProtection="1">
      <alignment horizontal="center"/>
      <protection hidden="1"/>
    </xf>
    <xf numFmtId="0" fontId="18" fillId="13" borderId="0" xfId="11" applyFont="1" applyFill="1" applyAlignment="1" applyProtection="1">
      <alignment horizontal="center"/>
      <protection hidden="1"/>
    </xf>
    <xf numFmtId="0" fontId="18" fillId="13" borderId="41" xfId="11" applyFont="1" applyFill="1" applyBorder="1" applyAlignment="1" applyProtection="1">
      <alignment horizontal="center"/>
      <protection hidden="1"/>
    </xf>
    <xf numFmtId="0" fontId="17" fillId="12" borderId="16" xfId="11" applyFont="1" applyFill="1" applyBorder="1" applyProtection="1">
      <protection hidden="1"/>
    </xf>
    <xf numFmtId="0" fontId="17" fillId="12" borderId="0" xfId="11" applyFont="1" applyFill="1" applyProtection="1">
      <protection hidden="1"/>
    </xf>
    <xf numFmtId="0" fontId="17" fillId="13" borderId="0" xfId="11" applyFont="1" applyFill="1" applyProtection="1">
      <protection hidden="1"/>
    </xf>
    <xf numFmtId="0" fontId="18" fillId="13" borderId="0" xfId="11" applyFont="1" applyFill="1" applyAlignment="1" applyProtection="1">
      <alignment horizontal="center" vertical="center" wrapText="1"/>
      <protection hidden="1"/>
    </xf>
    <xf numFmtId="10" fontId="21" fillId="17" borderId="38" xfId="7" applyNumberFormat="1" applyFont="1" applyFill="1" applyBorder="1" applyProtection="1">
      <protection hidden="1"/>
    </xf>
    <xf numFmtId="166" fontId="21" fillId="17" borderId="38" xfId="0" applyNumberFormat="1" applyFont="1" applyFill="1" applyBorder="1" applyProtection="1">
      <protection hidden="1"/>
    </xf>
    <xf numFmtId="166" fontId="17" fillId="13" borderId="0" xfId="11" applyNumberFormat="1" applyFont="1" applyFill="1" applyAlignment="1" applyProtection="1">
      <alignment horizontal="center"/>
      <protection hidden="1"/>
    </xf>
    <xf numFmtId="166" fontId="17" fillId="12" borderId="0" xfId="11" applyNumberFormat="1" applyFont="1" applyFill="1" applyAlignment="1" applyProtection="1">
      <alignment horizontal="right"/>
      <protection hidden="1"/>
    </xf>
    <xf numFmtId="0" fontId="7" fillId="15" borderId="0" xfId="11" applyFill="1" applyProtection="1">
      <protection hidden="1"/>
    </xf>
    <xf numFmtId="0" fontId="17" fillId="15" borderId="14" xfId="11" applyFont="1" applyFill="1" applyBorder="1" applyAlignment="1" applyProtection="1">
      <alignment horizontal="left" indent="1"/>
      <protection hidden="1"/>
    </xf>
    <xf numFmtId="0" fontId="15" fillId="13" borderId="0" xfId="11" applyFont="1" applyFill="1" applyAlignment="1" applyProtection="1">
      <alignment horizontal="left" vertical="center"/>
      <protection hidden="1"/>
    </xf>
    <xf numFmtId="0" fontId="15" fillId="12" borderId="11" xfId="11" applyFont="1" applyFill="1" applyBorder="1" applyAlignment="1" applyProtection="1">
      <alignment horizontal="left" vertical="center"/>
      <protection hidden="1"/>
    </xf>
    <xf numFmtId="0" fontId="15" fillId="12" borderId="13" xfId="11" applyFont="1" applyFill="1" applyBorder="1" applyAlignment="1" applyProtection="1">
      <alignment horizontal="left" vertical="center"/>
      <protection hidden="1"/>
    </xf>
    <xf numFmtId="0" fontId="18" fillId="12" borderId="13" xfId="11" applyFont="1" applyFill="1" applyBorder="1" applyAlignment="1" applyProtection="1">
      <alignment horizontal="left"/>
      <protection hidden="1"/>
    </xf>
    <xf numFmtId="166" fontId="0" fillId="3" borderId="12" xfId="1" applyFont="1" applyFill="1" applyBorder="1" applyProtection="1">
      <protection locked="0"/>
    </xf>
    <xf numFmtId="166" fontId="0" fillId="3" borderId="4" xfId="1" applyFont="1" applyFill="1" applyBorder="1" applyProtection="1">
      <protection locked="0"/>
    </xf>
    <xf numFmtId="166" fontId="0" fillId="3" borderId="0" xfId="1" applyFont="1" applyFill="1" applyBorder="1" applyProtection="1">
      <protection locked="0"/>
    </xf>
    <xf numFmtId="166" fontId="0" fillId="3" borderId="1" xfId="1" applyFont="1" applyFill="1" applyBorder="1" applyProtection="1">
      <protection locked="0"/>
    </xf>
    <xf numFmtId="1" fontId="0" fillId="3" borderId="4" xfId="2" applyNumberFormat="1" applyFont="1" applyFill="1" applyBorder="1" applyAlignment="1" applyProtection="1">
      <alignment horizontal="center" vertical="center"/>
      <protection locked="0"/>
    </xf>
    <xf numFmtId="10" fontId="0" fillId="3" borderId="12" xfId="2" applyNumberFormat="1" applyFont="1" applyFill="1" applyBorder="1" applyProtection="1">
      <protection locked="0"/>
    </xf>
    <xf numFmtId="166" fontId="12" fillId="0" borderId="20" xfId="6" applyNumberFormat="1" applyFont="1" applyBorder="1"/>
    <xf numFmtId="166" fontId="12" fillId="0" borderId="21" xfId="6" applyNumberFormat="1" applyFont="1" applyBorder="1"/>
    <xf numFmtId="166" fontId="12" fillId="0" borderId="0" xfId="6" applyNumberFormat="1" applyFont="1"/>
    <xf numFmtId="166" fontId="13" fillId="0" borderId="19" xfId="6" applyNumberFormat="1" applyFont="1" applyBorder="1" applyAlignment="1">
      <alignment horizontal="center"/>
    </xf>
    <xf numFmtId="166" fontId="12" fillId="0" borderId="18" xfId="6" applyNumberFormat="1" applyFont="1" applyBorder="1"/>
    <xf numFmtId="166" fontId="12" fillId="0" borderId="17" xfId="6" applyNumberFormat="1" applyFont="1" applyBorder="1"/>
    <xf numFmtId="0" fontId="7" fillId="3" borderId="61" xfId="11" applyFill="1" applyBorder="1" applyAlignment="1" applyProtection="1">
      <alignment horizontal="center" vertical="center" shrinkToFit="1"/>
      <protection locked="0"/>
    </xf>
    <xf numFmtId="0" fontId="36" fillId="15" borderId="0" xfId="11" applyFont="1" applyFill="1" applyProtection="1">
      <protection hidden="1"/>
    </xf>
    <xf numFmtId="0" fontId="12" fillId="15" borderId="0" xfId="11" applyFont="1" applyFill="1" applyProtection="1">
      <protection hidden="1"/>
    </xf>
    <xf numFmtId="0" fontId="12" fillId="12" borderId="0" xfId="11" applyFont="1" applyFill="1" applyProtection="1">
      <protection hidden="1"/>
    </xf>
    <xf numFmtId="0" fontId="12" fillId="14" borderId="0" xfId="11" applyFont="1" applyFill="1" applyProtection="1">
      <protection hidden="1"/>
    </xf>
    <xf numFmtId="0" fontId="21" fillId="15" borderId="0" xfId="11" applyFont="1" applyFill="1" applyProtection="1">
      <protection hidden="1"/>
    </xf>
    <xf numFmtId="0" fontId="18" fillId="13" borderId="0" xfId="11" applyFont="1" applyFill="1" applyAlignment="1" applyProtection="1">
      <alignment horizontal="right"/>
      <protection hidden="1"/>
    </xf>
    <xf numFmtId="0" fontId="31" fillId="12" borderId="0" xfId="11" applyFont="1" applyFill="1" applyProtection="1">
      <protection hidden="1"/>
    </xf>
    <xf numFmtId="0" fontId="16" fillId="16" borderId="0" xfId="11" applyFont="1" applyFill="1" applyAlignment="1" applyProtection="1">
      <alignment horizontal="center" vertical="center"/>
      <protection hidden="1"/>
    </xf>
    <xf numFmtId="0" fontId="16" fillId="13" borderId="0" xfId="11" applyFont="1" applyFill="1" applyAlignment="1" applyProtection="1">
      <alignment horizontal="center" vertical="center"/>
      <protection hidden="1"/>
    </xf>
    <xf numFmtId="179" fontId="17" fillId="16" borderId="0" xfId="13" applyNumberFormat="1" applyFont="1" applyFill="1" applyBorder="1" applyAlignment="1" applyProtection="1">
      <alignment horizontal="center"/>
      <protection hidden="1"/>
    </xf>
    <xf numFmtId="1" fontId="17" fillId="13" borderId="0" xfId="11" applyNumberFormat="1" applyFont="1" applyFill="1" applyProtection="1">
      <protection hidden="1"/>
    </xf>
    <xf numFmtId="181" fontId="18" fillId="16" borderId="0" xfId="13" applyFont="1" applyFill="1" applyBorder="1" applyAlignment="1" applyProtection="1">
      <alignment horizontal="center"/>
      <protection hidden="1"/>
    </xf>
    <xf numFmtId="181" fontId="17" fillId="13" borderId="0" xfId="13" applyFont="1" applyFill="1" applyBorder="1" applyProtection="1">
      <protection hidden="1"/>
    </xf>
    <xf numFmtId="166" fontId="17" fillId="16" borderId="0" xfId="11" applyNumberFormat="1" applyFont="1" applyFill="1" applyProtection="1">
      <protection hidden="1"/>
    </xf>
    <xf numFmtId="10" fontId="17" fillId="16" borderId="0" xfId="11" applyNumberFormat="1" applyFont="1" applyFill="1" applyProtection="1">
      <protection hidden="1"/>
    </xf>
    <xf numFmtId="0" fontId="18" fillId="12" borderId="0" xfId="11" applyFont="1" applyFill="1" applyProtection="1">
      <protection hidden="1"/>
    </xf>
    <xf numFmtId="10" fontId="17" fillId="13" borderId="0" xfId="11" applyNumberFormat="1" applyFont="1" applyFill="1" applyProtection="1">
      <protection hidden="1"/>
    </xf>
    <xf numFmtId="0" fontId="18" fillId="15" borderId="0" xfId="11" applyFont="1" applyFill="1" applyAlignment="1" applyProtection="1">
      <alignment horizontal="left"/>
      <protection hidden="1"/>
    </xf>
    <xf numFmtId="171" fontId="17" fillId="14" borderId="0" xfId="11" applyNumberFormat="1" applyFont="1" applyFill="1" applyProtection="1">
      <protection hidden="1"/>
    </xf>
    <xf numFmtId="0" fontId="34" fillId="15" borderId="0" xfId="11" applyFont="1" applyFill="1" applyProtection="1">
      <protection hidden="1"/>
    </xf>
    <xf numFmtId="0" fontId="17" fillId="16" borderId="1" xfId="11" applyFont="1" applyFill="1" applyBorder="1" applyAlignment="1" applyProtection="1">
      <alignment horizontal="center"/>
      <protection hidden="1"/>
    </xf>
    <xf numFmtId="0" fontId="17" fillId="13" borderId="16" xfId="11" applyFont="1" applyFill="1" applyBorder="1" applyAlignment="1" applyProtection="1">
      <alignment horizontal="center"/>
      <protection hidden="1"/>
    </xf>
    <xf numFmtId="0" fontId="17" fillId="15" borderId="0" xfId="11" applyFont="1" applyFill="1" applyProtection="1">
      <protection hidden="1"/>
    </xf>
    <xf numFmtId="166" fontId="18" fillId="13" borderId="0" xfId="11" applyNumberFormat="1" applyFont="1" applyFill="1" applyAlignment="1" applyProtection="1">
      <alignment horizontal="center"/>
      <protection hidden="1"/>
    </xf>
    <xf numFmtId="166" fontId="17" fillId="17" borderId="1" xfId="11" applyNumberFormat="1" applyFont="1" applyFill="1" applyBorder="1" applyProtection="1">
      <protection hidden="1"/>
    </xf>
    <xf numFmtId="166" fontId="17" fillId="14" borderId="55" xfId="11" applyNumberFormat="1" applyFont="1" applyFill="1" applyBorder="1" applyProtection="1">
      <protection hidden="1"/>
    </xf>
    <xf numFmtId="10" fontId="31" fillId="12" borderId="0" xfId="11" applyNumberFormat="1" applyFont="1" applyFill="1" applyProtection="1">
      <protection hidden="1"/>
    </xf>
    <xf numFmtId="0" fontId="18" fillId="12" borderId="0" xfId="11" applyFont="1" applyFill="1" applyAlignment="1" applyProtection="1">
      <alignment horizontal="left" vertical="center"/>
      <protection hidden="1"/>
    </xf>
    <xf numFmtId="166" fontId="17" fillId="17" borderId="57" xfId="11" applyNumberFormat="1" applyFont="1" applyFill="1" applyBorder="1" applyProtection="1">
      <protection hidden="1"/>
    </xf>
    <xf numFmtId="166" fontId="17" fillId="17" borderId="39" xfId="11" applyNumberFormat="1" applyFont="1" applyFill="1" applyBorder="1" applyProtection="1">
      <protection hidden="1"/>
    </xf>
    <xf numFmtId="166" fontId="17" fillId="13" borderId="60" xfId="11" applyNumberFormat="1" applyFont="1" applyFill="1" applyBorder="1" applyProtection="1">
      <protection hidden="1"/>
    </xf>
    <xf numFmtId="166" fontId="18" fillId="3" borderId="0" xfId="11" applyNumberFormat="1" applyFont="1" applyFill="1" applyProtection="1">
      <protection hidden="1"/>
    </xf>
    <xf numFmtId="166" fontId="18" fillId="12" borderId="0" xfId="11" applyNumberFormat="1" applyFont="1" applyFill="1" applyProtection="1">
      <protection hidden="1"/>
    </xf>
    <xf numFmtId="0" fontId="35" fillId="15" borderId="0" xfId="11" applyFont="1" applyFill="1" applyAlignment="1" applyProtection="1">
      <alignment horizontal="left" indent="1"/>
      <protection hidden="1"/>
    </xf>
    <xf numFmtId="0" fontId="21" fillId="15" borderId="0" xfId="11" applyFont="1" applyFill="1" applyAlignment="1" applyProtection="1">
      <alignment vertical="center"/>
      <protection hidden="1"/>
    </xf>
    <xf numFmtId="166" fontId="21" fillId="17" borderId="57" xfId="11" applyNumberFormat="1" applyFont="1" applyFill="1" applyBorder="1" applyProtection="1">
      <protection hidden="1"/>
    </xf>
    <xf numFmtId="0" fontId="7" fillId="3" borderId="0" xfId="11" applyFill="1" applyAlignment="1" applyProtection="1">
      <alignment horizontal="left" vertical="top" wrapText="1"/>
      <protection hidden="1"/>
    </xf>
    <xf numFmtId="166" fontId="25" fillId="17" borderId="57" xfId="11" applyNumberFormat="1" applyFont="1" applyFill="1" applyBorder="1" applyProtection="1">
      <protection hidden="1"/>
    </xf>
    <xf numFmtId="168" fontId="31" fillId="12" borderId="0" xfId="11" applyNumberFormat="1" applyFont="1" applyFill="1" applyProtection="1">
      <protection hidden="1"/>
    </xf>
    <xf numFmtId="0" fontId="18" fillId="13" borderId="14" xfId="11" applyFont="1" applyFill="1" applyBorder="1" applyAlignment="1" applyProtection="1">
      <alignment horizontal="center"/>
      <protection hidden="1"/>
    </xf>
    <xf numFmtId="10" fontId="21" fillId="17" borderId="57" xfId="7" applyNumberFormat="1" applyFont="1" applyFill="1" applyBorder="1" applyProtection="1">
      <protection hidden="1"/>
    </xf>
    <xf numFmtId="10" fontId="21" fillId="17" borderId="58" xfId="7" applyNumberFormat="1" applyFont="1" applyFill="1" applyBorder="1" applyProtection="1">
      <protection hidden="1"/>
    </xf>
    <xf numFmtId="166" fontId="21" fillId="17" borderId="58" xfId="11" applyNumberFormat="1" applyFont="1" applyFill="1" applyBorder="1" applyProtection="1">
      <protection hidden="1"/>
    </xf>
    <xf numFmtId="0" fontId="7" fillId="3" borderId="0" xfId="11" applyFill="1" applyAlignment="1" applyProtection="1">
      <alignment horizontal="right"/>
      <protection hidden="1"/>
    </xf>
    <xf numFmtId="10" fontId="21" fillId="17" borderId="0" xfId="7" applyNumberFormat="1" applyFont="1" applyFill="1" applyBorder="1" applyProtection="1">
      <protection hidden="1"/>
    </xf>
    <xf numFmtId="166" fontId="21" fillId="17" borderId="0" xfId="11" applyNumberFormat="1" applyFont="1" applyFill="1" applyProtection="1">
      <protection hidden="1"/>
    </xf>
    <xf numFmtId="0" fontId="7" fillId="3" borderId="0" xfId="0" applyFont="1" applyFill="1" applyProtection="1">
      <protection hidden="1"/>
    </xf>
    <xf numFmtId="166" fontId="21" fillId="15" borderId="0" xfId="11" applyNumberFormat="1" applyFont="1" applyFill="1" applyProtection="1">
      <protection hidden="1"/>
    </xf>
    <xf numFmtId="0" fontId="14" fillId="3" borderId="0" xfId="0" applyFont="1" applyFill="1" applyProtection="1">
      <protection hidden="1"/>
    </xf>
    <xf numFmtId="166" fontId="7" fillId="15" borderId="0" xfId="11" applyNumberFormat="1" applyFill="1" applyProtection="1">
      <protection hidden="1"/>
    </xf>
    <xf numFmtId="166" fontId="17" fillId="12" borderId="0" xfId="11" applyNumberFormat="1" applyFont="1" applyFill="1" applyAlignment="1" applyProtection="1">
      <alignment horizontal="center"/>
      <protection hidden="1"/>
    </xf>
    <xf numFmtId="0" fontId="33" fillId="12" borderId="0" xfId="11" applyFont="1" applyFill="1" applyAlignment="1" applyProtection="1">
      <alignment horizontal="left" vertical="center"/>
      <protection hidden="1"/>
    </xf>
    <xf numFmtId="0" fontId="38" fillId="12" borderId="0" xfId="11" applyFont="1" applyFill="1" applyAlignment="1" applyProtection="1">
      <alignment horizontal="center" vertical="center"/>
      <protection hidden="1"/>
    </xf>
    <xf numFmtId="0" fontId="15" fillId="12" borderId="0" xfId="11" applyFont="1" applyFill="1" applyAlignment="1" applyProtection="1">
      <alignment horizontal="left" vertical="center"/>
      <protection hidden="1"/>
    </xf>
    <xf numFmtId="167" fontId="17" fillId="12" borderId="0" xfId="11" applyNumberFormat="1" applyFont="1" applyFill="1" applyProtection="1">
      <protection hidden="1"/>
    </xf>
    <xf numFmtId="166" fontId="32" fillId="19" borderId="56" xfId="11" applyNumberFormat="1" applyFont="1" applyFill="1" applyBorder="1" applyProtection="1">
      <protection hidden="1"/>
    </xf>
    <xf numFmtId="166" fontId="21" fillId="3" borderId="0" xfId="11" applyNumberFormat="1" applyFont="1" applyFill="1" applyProtection="1">
      <protection hidden="1"/>
    </xf>
    <xf numFmtId="0" fontId="32" fillId="13" borderId="0" xfId="11" applyFont="1" applyFill="1" applyAlignment="1" applyProtection="1">
      <alignment horizontal="left"/>
      <protection hidden="1"/>
    </xf>
    <xf numFmtId="0" fontId="30" fillId="15" borderId="0" xfId="11" applyFont="1" applyFill="1" applyProtection="1">
      <protection hidden="1"/>
    </xf>
    <xf numFmtId="0" fontId="7" fillId="3" borderId="78" xfId="11" applyFill="1" applyBorder="1" applyAlignment="1" applyProtection="1">
      <alignment horizontal="right"/>
      <protection locked="0"/>
    </xf>
    <xf numFmtId="166" fontId="17" fillId="12" borderId="79" xfId="11" applyNumberFormat="1" applyFont="1" applyFill="1" applyBorder="1" applyAlignment="1" applyProtection="1">
      <alignment horizontal="center"/>
      <protection locked="0"/>
    </xf>
    <xf numFmtId="166" fontId="17" fillId="12" borderId="80" xfId="11" applyNumberFormat="1" applyFont="1" applyFill="1" applyBorder="1" applyAlignment="1" applyProtection="1">
      <alignment horizontal="center"/>
      <protection locked="0"/>
    </xf>
    <xf numFmtId="166" fontId="17" fillId="12" borderId="1" xfId="11" applyNumberFormat="1" applyFont="1" applyFill="1" applyBorder="1" applyAlignment="1" applyProtection="1">
      <alignment horizontal="center"/>
      <protection locked="0"/>
    </xf>
    <xf numFmtId="166" fontId="17" fillId="16" borderId="66" xfId="11" applyNumberFormat="1" applyFont="1" applyFill="1" applyBorder="1" applyProtection="1">
      <protection locked="0"/>
    </xf>
    <xf numFmtId="166" fontId="43" fillId="0" borderId="1" xfId="14" applyFont="1" applyFill="1" applyBorder="1" applyProtection="1">
      <protection locked="0"/>
    </xf>
    <xf numFmtId="14" fontId="43" fillId="0" borderId="1" xfId="0" applyNumberFormat="1" applyFont="1" applyBorder="1" applyProtection="1">
      <protection locked="0"/>
    </xf>
    <xf numFmtId="175" fontId="43" fillId="0" borderId="1" xfId="0" applyNumberFormat="1" applyFont="1" applyBorder="1" applyProtection="1">
      <protection locked="0"/>
    </xf>
    <xf numFmtId="0" fontId="43" fillId="3" borderId="1" xfId="0" applyFont="1" applyFill="1" applyBorder="1" applyProtection="1">
      <protection locked="0"/>
    </xf>
    <xf numFmtId="0" fontId="44" fillId="3" borderId="0" xfId="0" applyFont="1" applyFill="1" applyProtection="1">
      <protection hidden="1"/>
    </xf>
    <xf numFmtId="0" fontId="43" fillId="3" borderId="0" xfId="0" applyFont="1" applyFill="1" applyProtection="1">
      <protection hidden="1"/>
    </xf>
    <xf numFmtId="0" fontId="43" fillId="0" borderId="0" xfId="0" applyFont="1" applyProtection="1">
      <protection hidden="1"/>
    </xf>
    <xf numFmtId="0" fontId="47" fillId="3" borderId="0" xfId="0" applyFont="1" applyFill="1" applyProtection="1">
      <protection hidden="1"/>
    </xf>
    <xf numFmtId="0" fontId="48" fillId="16" borderId="0" xfId="0" applyFont="1" applyFill="1" applyAlignment="1" applyProtection="1">
      <alignment horizontal="left" vertical="center"/>
      <protection hidden="1"/>
    </xf>
    <xf numFmtId="0" fontId="43" fillId="0" borderId="0" xfId="0" applyFont="1" applyAlignment="1" applyProtection="1">
      <alignment horizontal="left"/>
      <protection hidden="1"/>
    </xf>
    <xf numFmtId="0" fontId="43" fillId="3" borderId="0" xfId="0" applyFont="1" applyFill="1" applyAlignment="1" applyProtection="1">
      <alignment horizontal="left" vertical="center"/>
      <protection hidden="1"/>
    </xf>
    <xf numFmtId="0" fontId="43" fillId="3" borderId="0" xfId="0" applyFont="1" applyFill="1" applyAlignment="1" applyProtection="1">
      <alignment horizontal="left" vertical="center" wrapText="1"/>
      <protection hidden="1"/>
    </xf>
    <xf numFmtId="0" fontId="47" fillId="3" borderId="0" xfId="0" applyFont="1" applyFill="1" applyAlignment="1" applyProtection="1">
      <alignment horizontal="left" vertical="center" wrapText="1"/>
      <protection hidden="1"/>
    </xf>
    <xf numFmtId="2" fontId="43" fillId="2" borderId="1" xfId="0" applyNumberFormat="1" applyFont="1" applyFill="1" applyBorder="1" applyProtection="1">
      <protection hidden="1"/>
    </xf>
    <xf numFmtId="175" fontId="43" fillId="2" borderId="1" xfId="0" applyNumberFormat="1" applyFont="1" applyFill="1" applyBorder="1" applyProtection="1">
      <protection hidden="1"/>
    </xf>
    <xf numFmtId="166" fontId="46" fillId="19" borderId="82" xfId="0" applyNumberFormat="1" applyFont="1" applyFill="1" applyBorder="1" applyProtection="1">
      <protection hidden="1"/>
    </xf>
    <xf numFmtId="10" fontId="43" fillId="2" borderId="1" xfId="2" applyNumberFormat="1" applyFont="1" applyFill="1" applyBorder="1" applyProtection="1">
      <protection hidden="1"/>
    </xf>
    <xf numFmtId="0" fontId="43" fillId="3" borderId="81" xfId="0" applyFont="1" applyFill="1" applyBorder="1" applyProtection="1">
      <protection hidden="1"/>
    </xf>
    <xf numFmtId="0" fontId="45" fillId="3" borderId="81" xfId="0" applyFont="1" applyFill="1" applyBorder="1" applyAlignment="1" applyProtection="1">
      <alignment horizontal="right"/>
      <protection hidden="1"/>
    </xf>
    <xf numFmtId="10" fontId="43" fillId="2" borderId="50" xfId="2" applyNumberFormat="1" applyFont="1" applyFill="1" applyBorder="1" applyProtection="1">
      <protection hidden="1"/>
    </xf>
    <xf numFmtId="0" fontId="44" fillId="0" borderId="0" xfId="0" applyFont="1" applyProtection="1">
      <protection hidden="1"/>
    </xf>
    <xf numFmtId="0" fontId="47" fillId="3" borderId="0" xfId="0" applyFont="1" applyFill="1"/>
    <xf numFmtId="0" fontId="7" fillId="3" borderId="0" xfId="11" applyFill="1" applyProtection="1">
      <protection hidden="1"/>
    </xf>
    <xf numFmtId="0" fontId="36" fillId="3" borderId="0" xfId="11" applyFont="1" applyFill="1" applyProtection="1">
      <protection hidden="1"/>
    </xf>
    <xf numFmtId="0" fontId="12" fillId="3" borderId="0" xfId="11" applyFont="1" applyFill="1" applyProtection="1">
      <protection hidden="1"/>
    </xf>
    <xf numFmtId="10" fontId="17" fillId="16" borderId="1" xfId="2" applyNumberFormat="1" applyFont="1" applyFill="1" applyBorder="1" applyAlignment="1" applyProtection="1">
      <alignment horizontal="center"/>
      <protection locked="0"/>
    </xf>
    <xf numFmtId="10" fontId="17" fillId="16" borderId="50" xfId="2" applyNumberFormat="1" applyFont="1" applyFill="1" applyBorder="1" applyAlignment="1" applyProtection="1">
      <alignment horizontal="center"/>
      <protection locked="0"/>
    </xf>
    <xf numFmtId="10" fontId="17" fillId="12" borderId="39" xfId="2" applyNumberFormat="1" applyFont="1" applyFill="1" applyBorder="1" applyAlignment="1" applyProtection="1">
      <alignment horizontal="center"/>
      <protection locked="0"/>
    </xf>
    <xf numFmtId="0" fontId="8" fillId="20" borderId="86" xfId="0" applyFont="1" applyFill="1" applyBorder="1" applyAlignment="1" applyProtection="1">
      <alignment horizontal="right"/>
      <protection hidden="1"/>
    </xf>
    <xf numFmtId="10" fontId="17" fillId="21" borderId="87" xfId="2" applyNumberFormat="1" applyFont="1" applyFill="1" applyBorder="1" applyAlignment="1" applyProtection="1">
      <alignment horizontal="center"/>
      <protection hidden="1"/>
    </xf>
    <xf numFmtId="10" fontId="17" fillId="21" borderId="63" xfId="2" applyNumberFormat="1" applyFont="1" applyFill="1" applyBorder="1" applyAlignment="1" applyProtection="1">
      <alignment horizontal="center"/>
      <protection hidden="1"/>
    </xf>
    <xf numFmtId="0" fontId="9" fillId="20" borderId="50" xfId="1" applyNumberFormat="1" applyFont="1" applyFill="1" applyBorder="1" applyAlignment="1" applyProtection="1">
      <alignment horizontal="right"/>
      <protection hidden="1"/>
    </xf>
    <xf numFmtId="10" fontId="20" fillId="21" borderId="50" xfId="2" applyNumberFormat="1" applyFont="1" applyFill="1" applyBorder="1" applyAlignment="1" applyProtection="1">
      <alignment horizontal="center"/>
      <protection hidden="1"/>
    </xf>
    <xf numFmtId="10" fontId="44" fillId="3" borderId="1" xfId="2" applyNumberFormat="1" applyFont="1" applyFill="1" applyBorder="1" applyAlignment="1" applyProtection="1">
      <alignment horizontal="center"/>
      <protection locked="0"/>
    </xf>
    <xf numFmtId="10" fontId="17" fillId="16" borderId="87" xfId="2" applyNumberFormat="1" applyFont="1" applyFill="1" applyBorder="1" applyAlignment="1" applyProtection="1">
      <alignment horizontal="center"/>
      <protection locked="0"/>
    </xf>
    <xf numFmtId="10" fontId="0" fillId="3" borderId="0" xfId="0" applyNumberFormat="1" applyFill="1" applyProtection="1">
      <protection hidden="1"/>
    </xf>
    <xf numFmtId="10" fontId="44" fillId="20" borderId="1" xfId="2" applyNumberFormat="1" applyFont="1" applyFill="1" applyBorder="1" applyAlignment="1" applyProtection="1">
      <alignment horizontal="center"/>
      <protection hidden="1"/>
    </xf>
    <xf numFmtId="183" fontId="0" fillId="3" borderId="0" xfId="0" applyNumberFormat="1" applyFill="1" applyProtection="1">
      <protection hidden="1"/>
    </xf>
    <xf numFmtId="10" fontId="7" fillId="15" borderId="0" xfId="2" applyNumberFormat="1" applyFont="1" applyFill="1" applyProtection="1">
      <protection hidden="1"/>
    </xf>
    <xf numFmtId="0" fontId="7" fillId="3" borderId="89" xfId="11" applyFill="1" applyBorder="1" applyAlignment="1" applyProtection="1">
      <alignment horizontal="center" vertical="center" shrinkToFit="1"/>
      <protection locked="0"/>
    </xf>
    <xf numFmtId="0" fontId="17" fillId="16" borderId="50" xfId="11" applyFont="1" applyFill="1" applyBorder="1" applyAlignment="1" applyProtection="1">
      <alignment horizontal="center"/>
      <protection locked="0"/>
    </xf>
    <xf numFmtId="166" fontId="17" fillId="16" borderId="50" xfId="11" applyNumberFormat="1" applyFont="1" applyFill="1" applyBorder="1" applyProtection="1">
      <protection locked="0"/>
    </xf>
    <xf numFmtId="166" fontId="17" fillId="12" borderId="90" xfId="11" applyNumberFormat="1" applyFont="1" applyFill="1" applyBorder="1" applyProtection="1">
      <protection locked="0"/>
    </xf>
    <xf numFmtId="166" fontId="17" fillId="12" borderId="91" xfId="11" applyNumberFormat="1" applyFont="1" applyFill="1" applyBorder="1" applyProtection="1">
      <protection locked="0"/>
    </xf>
    <xf numFmtId="166" fontId="17" fillId="12" borderId="92" xfId="11" applyNumberFormat="1" applyFont="1" applyFill="1" applyBorder="1" applyAlignment="1" applyProtection="1">
      <alignment horizontal="center"/>
      <protection locked="0"/>
    </xf>
    <xf numFmtId="0" fontId="50" fillId="3" borderId="0" xfId="16" applyFill="1" applyProtection="1">
      <protection hidden="1"/>
    </xf>
    <xf numFmtId="171" fontId="50" fillId="3" borderId="0" xfId="16" applyNumberFormat="1" applyFill="1" applyProtection="1">
      <protection hidden="1"/>
    </xf>
    <xf numFmtId="10" fontId="0" fillId="3" borderId="0" xfId="17" applyNumberFormat="1" applyFont="1" applyFill="1" applyProtection="1">
      <protection hidden="1"/>
    </xf>
    <xf numFmtId="2" fontId="50" fillId="3" borderId="0" xfId="16" applyNumberFormat="1" applyFill="1" applyProtection="1">
      <protection hidden="1"/>
    </xf>
    <xf numFmtId="0" fontId="0" fillId="3" borderId="0" xfId="0" applyFill="1"/>
    <xf numFmtId="0" fontId="0" fillId="3" borderId="50" xfId="0" applyFill="1" applyBorder="1" applyAlignment="1">
      <alignment horizontal="left" vertical="center"/>
    </xf>
    <xf numFmtId="14" fontId="0" fillId="3" borderId="50" xfId="0" applyNumberFormat="1" applyFill="1" applyBorder="1" applyAlignment="1">
      <alignment horizontal="left" vertical="center"/>
    </xf>
    <xf numFmtId="0" fontId="0" fillId="3" borderId="50" xfId="0" applyFill="1" applyBorder="1" applyAlignment="1">
      <alignment horizontal="left" vertical="center" wrapText="1"/>
    </xf>
    <xf numFmtId="0" fontId="2" fillId="8" borderId="50" xfId="0" applyFont="1" applyFill="1" applyBorder="1" applyAlignment="1">
      <alignment horizontal="center" vertical="center"/>
    </xf>
    <xf numFmtId="0" fontId="23" fillId="3" borderId="0" xfId="0" applyFont="1" applyFill="1" applyAlignment="1">
      <alignment horizontal="left" vertical="center"/>
    </xf>
    <xf numFmtId="0" fontId="7" fillId="15" borderId="0" xfId="11" applyFill="1" applyAlignment="1" applyProtection="1">
      <alignment horizontal="center"/>
      <protection hidden="1"/>
    </xf>
    <xf numFmtId="10" fontId="17" fillId="12" borderId="91" xfId="11" applyNumberFormat="1" applyFont="1" applyFill="1" applyBorder="1" applyProtection="1">
      <protection locked="0"/>
    </xf>
    <xf numFmtId="10" fontId="17" fillId="16" borderId="91" xfId="11" applyNumberFormat="1" applyFont="1" applyFill="1" applyBorder="1" applyProtection="1">
      <protection locked="0"/>
    </xf>
    <xf numFmtId="0" fontId="28" fillId="16" borderId="88" xfId="11" applyFont="1" applyFill="1" applyBorder="1" applyAlignment="1" applyProtection="1">
      <alignment vertical="center"/>
      <protection hidden="1"/>
    </xf>
    <xf numFmtId="0" fontId="28" fillId="16" borderId="0" xfId="11" applyFont="1" applyFill="1" applyAlignment="1" applyProtection="1">
      <alignment horizontal="center" vertical="center"/>
      <protection hidden="1"/>
    </xf>
    <xf numFmtId="0" fontId="7" fillId="0" borderId="0" xfId="11" applyAlignment="1" applyProtection="1">
      <alignment vertical="top" wrapText="1"/>
      <protection hidden="1"/>
    </xf>
    <xf numFmtId="165" fontId="31" fillId="12" borderId="0" xfId="11" applyNumberFormat="1" applyFont="1" applyFill="1" applyProtection="1">
      <protection hidden="1"/>
    </xf>
    <xf numFmtId="0" fontId="53" fillId="0" borderId="0" xfId="11" applyFont="1"/>
    <xf numFmtId="0" fontId="54" fillId="0" borderId="0" xfId="11" applyFont="1" applyProtection="1">
      <protection hidden="1"/>
    </xf>
    <xf numFmtId="182" fontId="53" fillId="0" borderId="0" xfId="11" applyNumberFormat="1" applyFont="1"/>
    <xf numFmtId="0" fontId="53" fillId="25" borderId="0" xfId="11" applyFont="1" applyFill="1" applyProtection="1">
      <protection locked="0"/>
    </xf>
    <xf numFmtId="186" fontId="53" fillId="0" borderId="0" xfId="11" applyNumberFormat="1" applyFont="1"/>
    <xf numFmtId="0" fontId="53" fillId="27" borderId="107" xfId="11" applyFont="1" applyFill="1" applyBorder="1" applyAlignment="1">
      <alignment horizontal="centerContinuous"/>
    </xf>
    <xf numFmtId="0" fontId="72" fillId="27" borderId="107" xfId="11" applyFont="1" applyFill="1" applyBorder="1" applyAlignment="1">
      <alignment horizontal="left"/>
    </xf>
    <xf numFmtId="0" fontId="0" fillId="0" borderId="0" xfId="0" applyAlignment="1">
      <alignment vertical="top"/>
    </xf>
    <xf numFmtId="0" fontId="0" fillId="6" borderId="0" xfId="0" applyFill="1" applyProtection="1">
      <protection hidden="1"/>
    </xf>
    <xf numFmtId="164" fontId="1" fillId="3" borderId="109" xfId="18" applyFont="1" applyFill="1" applyBorder="1" applyAlignment="1" applyProtection="1">
      <alignment horizontal="center"/>
      <protection hidden="1"/>
    </xf>
    <xf numFmtId="164" fontId="1" fillId="3" borderId="110" xfId="18" applyFont="1" applyFill="1" applyBorder="1" applyAlignment="1" applyProtection="1">
      <alignment horizontal="center"/>
      <protection hidden="1"/>
    </xf>
    <xf numFmtId="0" fontId="0" fillId="29" borderId="0" xfId="0" applyFill="1" applyProtection="1">
      <protection hidden="1"/>
    </xf>
    <xf numFmtId="164" fontId="1" fillId="3" borderId="0" xfId="18" applyFont="1" applyFill="1" applyBorder="1" applyAlignment="1" applyProtection="1">
      <protection hidden="1"/>
    </xf>
    <xf numFmtId="164" fontId="1" fillId="3" borderId="0" xfId="18" applyFont="1" applyFill="1" applyBorder="1" applyAlignment="1" applyProtection="1">
      <alignment horizontal="center"/>
      <protection hidden="1"/>
    </xf>
    <xf numFmtId="164" fontId="1" fillId="3" borderId="111" xfId="18" applyFont="1" applyFill="1" applyBorder="1" applyAlignment="1" applyProtection="1">
      <alignment horizontal="center"/>
      <protection hidden="1"/>
    </xf>
    <xf numFmtId="164" fontId="1" fillId="3" borderId="112" xfId="18" applyFont="1" applyFill="1" applyBorder="1" applyAlignment="1" applyProtection="1">
      <alignment horizontal="center"/>
      <protection hidden="1"/>
    </xf>
    <xf numFmtId="164" fontId="1" fillId="3" borderId="14" xfId="18" applyFont="1" applyFill="1" applyBorder="1" applyAlignment="1" applyProtection="1">
      <alignment horizontal="center"/>
      <protection hidden="1"/>
    </xf>
    <xf numFmtId="0" fontId="0" fillId="6" borderId="113" xfId="0" applyFill="1" applyBorder="1" applyProtection="1">
      <protection hidden="1"/>
    </xf>
    <xf numFmtId="0" fontId="2" fillId="6" borderId="13" xfId="0" applyFont="1" applyFill="1" applyBorder="1" applyAlignment="1" applyProtection="1">
      <alignment horizontal="center"/>
      <protection hidden="1"/>
    </xf>
    <xf numFmtId="164" fontId="1" fillId="3" borderId="12" xfId="18" applyFont="1" applyFill="1" applyBorder="1" applyAlignment="1" applyProtection="1">
      <alignment horizontal="center"/>
      <protection hidden="1"/>
    </xf>
    <xf numFmtId="164" fontId="1" fillId="3" borderId="114" xfId="18" applyFont="1" applyFill="1" applyBorder="1" applyProtection="1">
      <protection hidden="1"/>
    </xf>
    <xf numFmtId="0" fontId="0" fillId="29" borderId="114" xfId="0" applyFill="1" applyBorder="1" applyAlignment="1" applyProtection="1">
      <alignment horizontal="center"/>
      <protection locked="0" hidden="1"/>
    </xf>
    <xf numFmtId="0" fontId="2" fillId="3" borderId="0" xfId="0" applyFont="1" applyFill="1" applyProtection="1">
      <protection hidden="1"/>
    </xf>
    <xf numFmtId="10" fontId="1" fillId="3" borderId="114" xfId="2" applyNumberFormat="1" applyFont="1" applyFill="1" applyBorder="1" applyAlignment="1" applyProtection="1">
      <alignment horizontal="center"/>
      <protection locked="0" hidden="1"/>
    </xf>
    <xf numFmtId="164" fontId="1" fillId="3" borderId="114" xfId="18" applyFont="1" applyFill="1" applyBorder="1" applyProtection="1">
      <protection locked="0" hidden="1"/>
    </xf>
    <xf numFmtId="9" fontId="1" fillId="3" borderId="114" xfId="2" applyFont="1" applyFill="1" applyBorder="1" applyAlignment="1" applyProtection="1">
      <alignment horizontal="center"/>
      <protection locked="0" hidden="1"/>
    </xf>
    <xf numFmtId="164" fontId="0" fillId="3" borderId="114" xfId="0" applyNumberFormat="1" applyFill="1" applyBorder="1" applyAlignment="1" applyProtection="1">
      <alignment horizontal="center"/>
      <protection locked="0" hidden="1"/>
    </xf>
    <xf numFmtId="0" fontId="0" fillId="3" borderId="114" xfId="0" applyFill="1" applyBorder="1" applyAlignment="1" applyProtection="1">
      <alignment horizontal="center"/>
      <protection locked="0" hidden="1"/>
    </xf>
    <xf numFmtId="0" fontId="0" fillId="3" borderId="115" xfId="0" applyFill="1" applyBorder="1" applyProtection="1">
      <protection hidden="1"/>
    </xf>
    <xf numFmtId="0" fontId="2" fillId="6" borderId="116" xfId="0" applyFont="1" applyFill="1" applyBorder="1" applyAlignment="1" applyProtection="1">
      <alignment horizontal="center"/>
      <protection hidden="1"/>
    </xf>
    <xf numFmtId="0" fontId="2" fillId="6" borderId="50" xfId="0" applyFont="1" applyFill="1" applyBorder="1" applyAlignment="1" applyProtection="1">
      <alignment horizontal="center"/>
      <protection hidden="1"/>
    </xf>
    <xf numFmtId="0" fontId="2" fillId="6" borderId="117" xfId="0" applyFont="1" applyFill="1" applyBorder="1" applyAlignment="1" applyProtection="1">
      <alignment horizontal="center"/>
      <protection hidden="1"/>
    </xf>
    <xf numFmtId="0" fontId="4" fillId="3" borderId="0" xfId="0" applyFont="1" applyFill="1" applyProtection="1">
      <protection hidden="1"/>
    </xf>
    <xf numFmtId="14" fontId="0" fillId="3" borderId="0" xfId="0" applyNumberFormat="1" applyFill="1" applyProtection="1">
      <protection hidden="1"/>
    </xf>
    <xf numFmtId="0" fontId="55" fillId="0" borderId="106" xfId="11" applyFont="1" applyBorder="1" applyAlignment="1">
      <alignment vertical="center"/>
    </xf>
    <xf numFmtId="0" fontId="55" fillId="0" borderId="122" xfId="11" applyFont="1" applyBorder="1" applyAlignment="1">
      <alignment vertical="center"/>
    </xf>
    <xf numFmtId="0" fontId="55" fillId="0" borderId="0" xfId="11" applyFont="1" applyAlignment="1">
      <alignment vertical="center"/>
    </xf>
    <xf numFmtId="0" fontId="55" fillId="0" borderId="123" xfId="11" applyFont="1" applyBorder="1" applyAlignment="1">
      <alignment vertical="center"/>
    </xf>
    <xf numFmtId="0" fontId="55" fillId="0" borderId="124" xfId="11" applyFont="1" applyBorder="1" applyAlignment="1">
      <alignment vertical="center"/>
    </xf>
    <xf numFmtId="0" fontId="69" fillId="27" borderId="132" xfId="11" applyFont="1" applyFill="1" applyBorder="1" applyAlignment="1">
      <alignment horizontal="left"/>
    </xf>
    <xf numFmtId="0" fontId="68" fillId="27" borderId="133" xfId="11" applyFont="1" applyFill="1" applyBorder="1" applyAlignment="1">
      <alignment horizontal="centerContinuous"/>
    </xf>
    <xf numFmtId="0" fontId="69" fillId="26" borderId="128" xfId="11" applyFont="1" applyFill="1" applyBorder="1"/>
    <xf numFmtId="0" fontId="62" fillId="26" borderId="0" xfId="11" applyFont="1" applyFill="1"/>
    <xf numFmtId="0" fontId="70" fillId="26" borderId="0" xfId="11" applyFont="1" applyFill="1"/>
    <xf numFmtId="0" fontId="71" fillId="26" borderId="0" xfId="11" applyFont="1" applyFill="1"/>
    <xf numFmtId="0" fontId="70" fillId="26" borderId="129" xfId="11" applyFont="1" applyFill="1" applyBorder="1"/>
    <xf numFmtId="0" fontId="55" fillId="0" borderId="137" xfId="11" applyFont="1" applyBorder="1" applyAlignment="1">
      <alignment vertical="center"/>
    </xf>
    <xf numFmtId="0" fontId="55" fillId="0" borderId="138" xfId="11" applyFont="1" applyBorder="1" applyAlignment="1">
      <alignment vertical="center"/>
    </xf>
    <xf numFmtId="0" fontId="69" fillId="27" borderId="128" xfId="11" applyFont="1" applyFill="1" applyBorder="1"/>
    <xf numFmtId="0" fontId="72" fillId="27" borderId="0" xfId="11" applyFont="1" applyFill="1"/>
    <xf numFmtId="0" fontId="70" fillId="27" borderId="0" xfId="11" applyFont="1" applyFill="1"/>
    <xf numFmtId="0" fontId="71" fillId="27" borderId="0" xfId="11" applyFont="1" applyFill="1"/>
    <xf numFmtId="0" fontId="70" fillId="27" borderId="129" xfId="11" applyFont="1" applyFill="1" applyBorder="1"/>
    <xf numFmtId="180" fontId="7" fillId="0" borderId="0" xfId="100" applyNumberFormat="1" applyFont="1"/>
    <xf numFmtId="166" fontId="32" fillId="19" borderId="0" xfId="11" applyNumberFormat="1" applyFont="1" applyFill="1" applyProtection="1">
      <protection hidden="1"/>
    </xf>
    <xf numFmtId="164" fontId="7" fillId="15" borderId="0" xfId="11" applyNumberFormat="1" applyFill="1" applyProtection="1">
      <protection hidden="1"/>
    </xf>
    <xf numFmtId="164" fontId="0" fillId="0" borderId="0" xfId="0" applyNumberFormat="1" applyProtection="1">
      <protection hidden="1"/>
    </xf>
    <xf numFmtId="171" fontId="0" fillId="0" borderId="0" xfId="0" applyNumberFormat="1" applyProtection="1">
      <protection hidden="1"/>
    </xf>
    <xf numFmtId="0" fontId="0" fillId="0" borderId="0" xfId="0" applyAlignment="1" applyProtection="1">
      <alignment horizontal="center"/>
      <protection hidden="1"/>
    </xf>
    <xf numFmtId="0" fontId="29" fillId="15" borderId="0" xfId="11" applyFont="1" applyFill="1" applyProtection="1">
      <protection hidden="1"/>
    </xf>
    <xf numFmtId="180" fontId="0" fillId="0" borderId="0" xfId="100" applyNumberFormat="1" applyFont="1"/>
    <xf numFmtId="180" fontId="24" fillId="0" borderId="0" xfId="100" applyNumberFormat="1" applyFont="1" applyBorder="1" applyAlignment="1">
      <alignment horizontal="center"/>
    </xf>
    <xf numFmtId="170" fontId="23" fillId="3" borderId="151" xfId="0" applyNumberFormat="1" applyFont="1" applyFill="1" applyBorder="1" applyAlignment="1">
      <alignment horizontal="left"/>
    </xf>
    <xf numFmtId="170" fontId="23" fillId="3" borderId="13" xfId="0" applyNumberFormat="1" applyFont="1" applyFill="1" applyBorder="1" applyAlignment="1">
      <alignment horizontal="left" vertical="top"/>
    </xf>
    <xf numFmtId="164" fontId="7" fillId="0" borderId="0" xfId="9" applyNumberFormat="1"/>
    <xf numFmtId="0" fontId="17" fillId="12" borderId="117" xfId="11" applyFont="1" applyFill="1" applyBorder="1" applyAlignment="1" applyProtection="1">
      <alignment horizontal="center"/>
      <protection locked="0"/>
    </xf>
    <xf numFmtId="179" fontId="17" fillId="13" borderId="0" xfId="5" applyNumberFormat="1" applyFont="1" applyFill="1" applyBorder="1" applyProtection="1">
      <protection hidden="1"/>
    </xf>
    <xf numFmtId="166" fontId="17" fillId="12" borderId="117" xfId="11" applyNumberFormat="1" applyFont="1" applyFill="1" applyBorder="1" applyProtection="1">
      <protection locked="0"/>
    </xf>
    <xf numFmtId="0" fontId="7" fillId="15" borderId="88" xfId="11" applyFill="1" applyBorder="1" applyProtection="1">
      <protection hidden="1"/>
    </xf>
    <xf numFmtId="164" fontId="17" fillId="13" borderId="1" xfId="11" applyNumberFormat="1" applyFont="1" applyFill="1" applyBorder="1" applyProtection="1">
      <protection hidden="1"/>
    </xf>
    <xf numFmtId="0" fontId="7" fillId="15" borderId="0" xfId="11" applyFill="1" applyProtection="1">
      <protection locked="0" hidden="1"/>
    </xf>
    <xf numFmtId="0" fontId="0" fillId="3" borderId="41" xfId="0" applyFill="1" applyBorder="1" applyAlignment="1">
      <alignment vertical="center"/>
    </xf>
    <xf numFmtId="14" fontId="0" fillId="3" borderId="41" xfId="0" applyNumberFormat="1" applyFill="1" applyBorder="1" applyAlignment="1">
      <alignment horizontal="left" vertical="center"/>
    </xf>
    <xf numFmtId="0" fontId="0" fillId="3" borderId="41" xfId="0" applyFill="1" applyBorder="1" applyAlignment="1">
      <alignment horizontal="left" vertical="center" wrapText="1"/>
    </xf>
    <xf numFmtId="0" fontId="0" fillId="3" borderId="41" xfId="0" applyFill="1" applyBorder="1" applyAlignment="1">
      <alignment horizontal="left" vertical="center"/>
    </xf>
    <xf numFmtId="174" fontId="0" fillId="3" borderId="0" xfId="0" applyNumberFormat="1" applyFill="1" applyAlignment="1" applyProtection="1">
      <alignment horizontal="right"/>
      <protection hidden="1"/>
    </xf>
    <xf numFmtId="0" fontId="7" fillId="15" borderId="41" xfId="11" applyFill="1" applyBorder="1" applyAlignment="1" applyProtection="1">
      <alignment horizontal="center"/>
      <protection locked="0"/>
    </xf>
    <xf numFmtId="166" fontId="0" fillId="3" borderId="95" xfId="1" applyFont="1" applyFill="1" applyBorder="1" applyProtection="1">
      <protection locked="0"/>
    </xf>
    <xf numFmtId="0" fontId="0" fillId="3" borderId="117" xfId="0" applyFill="1" applyBorder="1" applyProtection="1">
      <protection locked="0"/>
    </xf>
    <xf numFmtId="10" fontId="0" fillId="3" borderId="117" xfId="2" applyNumberFormat="1" applyFont="1" applyFill="1" applyBorder="1" applyProtection="1">
      <protection locked="0"/>
    </xf>
    <xf numFmtId="166" fontId="0" fillId="3" borderId="117" xfId="1" applyFont="1" applyFill="1" applyBorder="1" applyProtection="1">
      <protection locked="0"/>
    </xf>
    <xf numFmtId="0" fontId="0" fillId="3" borderId="1" xfId="0" applyFill="1" applyBorder="1" applyAlignment="1">
      <alignment horizontal="left" vertical="center" wrapText="1"/>
    </xf>
    <xf numFmtId="0" fontId="96" fillId="0" borderId="0" xfId="0" applyFont="1" applyAlignment="1" applyProtection="1">
      <alignment wrapText="1"/>
      <protection hidden="1"/>
    </xf>
    <xf numFmtId="2" fontId="97" fillId="0" borderId="56" xfId="0" applyNumberFormat="1" applyFont="1" applyBorder="1" applyProtection="1">
      <protection hidden="1"/>
    </xf>
    <xf numFmtId="0" fontId="98" fillId="0" borderId="0" xfId="0" applyFont="1" applyProtection="1">
      <protection hidden="1"/>
    </xf>
    <xf numFmtId="188" fontId="0" fillId="0" borderId="0" xfId="0" applyNumberFormat="1" applyProtection="1">
      <protection hidden="1"/>
    </xf>
    <xf numFmtId="0" fontId="99" fillId="0" borderId="0" xfId="0" applyFont="1" applyProtection="1">
      <protection hidden="1"/>
    </xf>
    <xf numFmtId="2" fontId="97" fillId="22" borderId="56" xfId="0" applyNumberFormat="1" applyFont="1" applyFill="1" applyBorder="1" applyAlignment="1" applyProtection="1">
      <alignment horizontal="right"/>
      <protection hidden="1"/>
    </xf>
    <xf numFmtId="0" fontId="100" fillId="0" borderId="0" xfId="0" applyFont="1" applyProtection="1">
      <protection hidden="1"/>
    </xf>
    <xf numFmtId="164" fontId="0" fillId="0" borderId="41" xfId="18" applyFont="1" applyBorder="1" applyProtection="1">
      <protection hidden="1"/>
    </xf>
    <xf numFmtId="0" fontId="0" fillId="0" borderId="13" xfId="0" applyBorder="1" applyProtection="1">
      <protection hidden="1"/>
    </xf>
    <xf numFmtId="0" fontId="0" fillId="0" borderId="11" xfId="0" applyBorder="1" applyProtection="1">
      <protection hidden="1"/>
    </xf>
    <xf numFmtId="0" fontId="4" fillId="0" borderId="0" xfId="0" applyFont="1" applyProtection="1">
      <protection hidden="1"/>
    </xf>
    <xf numFmtId="0" fontId="101" fillId="0" borderId="0" xfId="0" applyFont="1" applyProtection="1">
      <protection hidden="1"/>
    </xf>
    <xf numFmtId="164" fontId="0" fillId="0" borderId="41" xfId="18" applyFont="1" applyBorder="1" applyProtection="1">
      <protection locked="0"/>
    </xf>
    <xf numFmtId="0" fontId="0" fillId="0" borderId="103" xfId="0" applyBorder="1" applyProtection="1">
      <protection hidden="1"/>
    </xf>
    <xf numFmtId="0" fontId="0" fillId="0" borderId="88" xfId="0" applyBorder="1" applyProtection="1">
      <protection hidden="1"/>
    </xf>
    <xf numFmtId="0" fontId="102" fillId="0" borderId="0" xfId="0" applyFont="1" applyAlignment="1" applyProtection="1">
      <alignment vertical="top" wrapText="1"/>
      <protection hidden="1"/>
    </xf>
    <xf numFmtId="0" fontId="103" fillId="0" borderId="151" xfId="0" applyFont="1" applyBorder="1" applyAlignment="1" applyProtection="1">
      <alignment horizontal="right" vertical="top" wrapText="1"/>
      <protection hidden="1"/>
    </xf>
    <xf numFmtId="0" fontId="102" fillId="0" borderId="151" xfId="0" applyFont="1" applyBorder="1" applyAlignment="1" applyProtection="1">
      <alignment vertical="top" wrapText="1"/>
      <protection hidden="1"/>
    </xf>
    <xf numFmtId="0" fontId="0" fillId="0" borderId="151" xfId="0" applyBorder="1" applyProtection="1">
      <protection hidden="1"/>
    </xf>
    <xf numFmtId="0" fontId="0" fillId="0" borderId="134" xfId="0" applyBorder="1" applyProtection="1">
      <protection hidden="1"/>
    </xf>
    <xf numFmtId="164" fontId="0" fillId="0" borderId="0" xfId="18" applyFont="1" applyBorder="1" applyProtection="1">
      <protection hidden="1"/>
    </xf>
    <xf numFmtId="0" fontId="84" fillId="0" borderId="0" xfId="0" applyFont="1" applyProtection="1">
      <protection hidden="1"/>
    </xf>
    <xf numFmtId="0" fontId="104" fillId="0" borderId="151" xfId="0" applyFont="1" applyBorder="1" applyAlignment="1" applyProtection="1">
      <alignment horizontal="right"/>
      <protection hidden="1"/>
    </xf>
    <xf numFmtId="10" fontId="0" fillId="0" borderId="41" xfId="2" applyNumberFormat="1" applyFont="1" applyBorder="1" applyAlignment="1" applyProtection="1">
      <alignment horizontal="right"/>
      <protection locked="0"/>
    </xf>
    <xf numFmtId="0" fontId="0" fillId="0" borderId="0" xfId="0" quotePrefix="1" applyProtection="1">
      <protection hidden="1"/>
    </xf>
    <xf numFmtId="0" fontId="0" fillId="0" borderId="41" xfId="0" applyBorder="1" applyAlignment="1" applyProtection="1">
      <alignment horizontal="right"/>
      <protection locked="0"/>
    </xf>
    <xf numFmtId="0" fontId="3" fillId="0" borderId="41" xfId="0" applyFont="1" applyBorder="1" applyAlignment="1" applyProtection="1">
      <alignment horizontal="right"/>
      <protection hidden="1"/>
    </xf>
    <xf numFmtId="10" fontId="3" fillId="0" borderId="41" xfId="2" applyNumberFormat="1" applyFont="1" applyBorder="1" applyAlignment="1" applyProtection="1">
      <alignment horizontal="right"/>
      <protection hidden="1"/>
    </xf>
    <xf numFmtId="164" fontId="0" fillId="0" borderId="41" xfId="18" applyFont="1" applyBorder="1" applyAlignment="1" applyProtection="1">
      <alignment horizontal="right"/>
      <protection locked="0"/>
    </xf>
    <xf numFmtId="0" fontId="105" fillId="0" borderId="0" xfId="0" applyFont="1" applyAlignment="1" applyProtection="1">
      <alignment horizontal="right"/>
      <protection hidden="1"/>
    </xf>
    <xf numFmtId="22" fontId="0" fillId="0" borderId="0" xfId="0" applyNumberFormat="1" applyProtection="1">
      <protection hidden="1"/>
    </xf>
    <xf numFmtId="0" fontId="0" fillId="0" borderId="152" xfId="0" applyBorder="1" applyProtection="1">
      <protection hidden="1"/>
    </xf>
    <xf numFmtId="0" fontId="106" fillId="0" borderId="152" xfId="0" applyFont="1" applyBorder="1" applyProtection="1">
      <protection hidden="1"/>
    </xf>
    <xf numFmtId="0" fontId="0" fillId="0" borderId="41" xfId="0" applyBorder="1"/>
    <xf numFmtId="0" fontId="0" fillId="9" borderId="0" xfId="0" applyFill="1"/>
    <xf numFmtId="0" fontId="3" fillId="9" borderId="0" xfId="0" applyFont="1" applyFill="1"/>
    <xf numFmtId="0" fontId="3" fillId="9" borderId="0" xfId="0" quotePrefix="1" applyFont="1" applyFill="1"/>
    <xf numFmtId="0" fontId="0" fillId="61" borderId="41" xfId="0" applyFill="1" applyBorder="1"/>
    <xf numFmtId="0" fontId="3" fillId="0" borderId="0" xfId="0" applyFont="1"/>
    <xf numFmtId="10" fontId="0" fillId="0" borderId="0" xfId="2" applyNumberFormat="1" applyFont="1"/>
    <xf numFmtId="164" fontId="0" fillId="0" borderId="0" xfId="18" applyFont="1"/>
    <xf numFmtId="0" fontId="3" fillId="0" borderId="0" xfId="0" applyFont="1" applyAlignment="1">
      <alignment horizontal="center"/>
    </xf>
    <xf numFmtId="0" fontId="0" fillId="15" borderId="0" xfId="0" applyFill="1"/>
    <xf numFmtId="0" fontId="108" fillId="12" borderId="0" xfId="0" applyFont="1" applyFill="1"/>
    <xf numFmtId="0" fontId="13" fillId="12" borderId="0" xfId="0" applyFont="1" applyFill="1"/>
    <xf numFmtId="0" fontId="12" fillId="12" borderId="0" xfId="0" applyFont="1" applyFill="1"/>
    <xf numFmtId="0" fontId="12" fillId="12" borderId="0" xfId="0" applyFont="1" applyFill="1" applyAlignment="1">
      <alignment horizontal="justify" vertical="center" wrapText="1"/>
    </xf>
    <xf numFmtId="0" fontId="13" fillId="12" borderId="0" xfId="0" applyFont="1" applyFill="1" applyAlignment="1">
      <alignment vertical="center"/>
    </xf>
    <xf numFmtId="0" fontId="0" fillId="15" borderId="0" xfId="0" applyFill="1" applyAlignment="1">
      <alignment vertical="center"/>
    </xf>
    <xf numFmtId="0" fontId="108" fillId="12" borderId="0" xfId="0" applyFont="1" applyFill="1" applyAlignment="1">
      <alignment horizontal="justify" vertical="center" wrapText="1"/>
    </xf>
    <xf numFmtId="0" fontId="12" fillId="12" borderId="0" xfId="0" applyFont="1" applyFill="1" applyAlignment="1">
      <alignment horizontal="left" vertical="center" wrapText="1"/>
    </xf>
    <xf numFmtId="0" fontId="13" fillId="12" borderId="0" xfId="0" applyFont="1" applyFill="1" applyAlignment="1">
      <alignment horizontal="left" vertical="center"/>
    </xf>
    <xf numFmtId="0" fontId="13" fillId="12" borderId="0" xfId="0" applyFont="1" applyFill="1" applyAlignment="1">
      <alignment vertical="center" wrapText="1"/>
    </xf>
    <xf numFmtId="0" fontId="12" fillId="12" borderId="0" xfId="0" applyFont="1" applyFill="1" applyAlignment="1">
      <alignment vertical="center"/>
    </xf>
    <xf numFmtId="0" fontId="111" fillId="15" borderId="0" xfId="0" applyFont="1" applyFill="1"/>
    <xf numFmtId="0" fontId="2" fillId="6" borderId="41" xfId="3" applyFont="1" applyFill="1" applyBorder="1" applyProtection="1">
      <protection hidden="1"/>
    </xf>
    <xf numFmtId="9" fontId="0" fillId="5" borderId="117" xfId="0" applyNumberFormat="1" applyFill="1" applyBorder="1" applyProtection="1">
      <protection locked="0" hidden="1"/>
    </xf>
    <xf numFmtId="10" fontId="0" fillId="2" borderId="136" xfId="0" applyNumberFormat="1" applyFill="1" applyBorder="1" applyProtection="1">
      <protection hidden="1"/>
    </xf>
    <xf numFmtId="0" fontId="0" fillId="2" borderId="78" xfId="0" applyFill="1" applyBorder="1" applyProtection="1">
      <protection hidden="1"/>
    </xf>
    <xf numFmtId="9" fontId="0" fillId="5" borderId="117" xfId="2" applyFont="1" applyFill="1" applyBorder="1" applyProtection="1">
      <protection locked="0" hidden="1"/>
    </xf>
    <xf numFmtId="166" fontId="17" fillId="16" borderId="1" xfId="11" applyNumberFormat="1" applyFont="1" applyFill="1" applyBorder="1" applyProtection="1">
      <protection hidden="1"/>
    </xf>
    <xf numFmtId="0" fontId="8" fillId="29" borderId="16" xfId="0" applyFont="1" applyFill="1" applyBorder="1" applyAlignment="1" applyProtection="1">
      <alignment horizontal="right"/>
      <protection hidden="1"/>
    </xf>
    <xf numFmtId="0" fontId="0" fillId="29" borderId="1" xfId="0" applyFill="1" applyBorder="1" applyAlignment="1" applyProtection="1">
      <alignment horizontal="center"/>
      <protection hidden="1"/>
    </xf>
    <xf numFmtId="166" fontId="17" fillId="63" borderId="39" xfId="11" applyNumberFormat="1" applyFont="1" applyFill="1" applyBorder="1" applyProtection="1">
      <protection hidden="1"/>
    </xf>
    <xf numFmtId="166" fontId="17" fillId="63" borderId="101" xfId="11" applyNumberFormat="1" applyFont="1" applyFill="1" applyBorder="1" applyProtection="1">
      <protection hidden="1"/>
    </xf>
    <xf numFmtId="166" fontId="18" fillId="63" borderId="102" xfId="11" applyNumberFormat="1" applyFont="1" applyFill="1" applyBorder="1" applyProtection="1">
      <protection hidden="1"/>
    </xf>
    <xf numFmtId="10" fontId="17" fillId="63" borderId="1" xfId="11" applyNumberFormat="1" applyFont="1" applyFill="1" applyBorder="1" applyProtection="1">
      <protection hidden="1"/>
    </xf>
    <xf numFmtId="166" fontId="17" fillId="63" borderId="1" xfId="11" applyNumberFormat="1" applyFont="1" applyFill="1" applyBorder="1" applyProtection="1">
      <protection hidden="1"/>
    </xf>
    <xf numFmtId="0" fontId="8" fillId="29" borderId="10" xfId="0" applyFont="1" applyFill="1" applyBorder="1" applyAlignment="1" applyProtection="1">
      <alignment horizontal="right"/>
      <protection hidden="1"/>
    </xf>
    <xf numFmtId="166" fontId="17" fillId="63" borderId="63" xfId="11" applyNumberFormat="1" applyFont="1" applyFill="1" applyBorder="1" applyProtection="1">
      <protection hidden="1"/>
    </xf>
    <xf numFmtId="166" fontId="18" fillId="63" borderId="63" xfId="11" applyNumberFormat="1" applyFont="1" applyFill="1" applyBorder="1" applyProtection="1">
      <protection hidden="1"/>
    </xf>
    <xf numFmtId="0" fontId="8" fillId="29" borderId="103" xfId="0" applyFont="1" applyFill="1" applyBorder="1" applyAlignment="1" applyProtection="1">
      <alignment horizontal="right"/>
      <protection hidden="1"/>
    </xf>
    <xf numFmtId="10" fontId="17" fillId="63" borderId="10" xfId="11" applyNumberFormat="1" applyFont="1" applyFill="1" applyBorder="1" applyProtection="1">
      <protection hidden="1"/>
    </xf>
    <xf numFmtId="0" fontId="8" fillId="29" borderId="11" xfId="0" applyFont="1" applyFill="1" applyBorder="1" applyAlignment="1" applyProtection="1">
      <alignment horizontal="right"/>
      <protection hidden="1"/>
    </xf>
    <xf numFmtId="0" fontId="8" fillId="29" borderId="62" xfId="0" applyFont="1" applyFill="1" applyBorder="1" applyAlignment="1" applyProtection="1">
      <alignment horizontal="right"/>
      <protection hidden="1"/>
    </xf>
    <xf numFmtId="0" fontId="8" fillId="29" borderId="15" xfId="0" applyFont="1" applyFill="1" applyBorder="1" applyAlignment="1" applyProtection="1">
      <alignment horizontal="right"/>
      <protection hidden="1"/>
    </xf>
    <xf numFmtId="0" fontId="37" fillId="63" borderId="16" xfId="11" applyFont="1" applyFill="1" applyBorder="1" applyAlignment="1" applyProtection="1">
      <alignment horizontal="right"/>
      <protection hidden="1"/>
    </xf>
    <xf numFmtId="0" fontId="37" fillId="63" borderId="11" xfId="11" applyFont="1" applyFill="1" applyBorder="1" applyAlignment="1" applyProtection="1">
      <alignment horizontal="right"/>
      <protection hidden="1"/>
    </xf>
    <xf numFmtId="166" fontId="18" fillId="63" borderId="64" xfId="11" applyNumberFormat="1" applyFont="1" applyFill="1" applyBorder="1" applyProtection="1">
      <protection hidden="1"/>
    </xf>
    <xf numFmtId="0" fontId="17" fillId="63" borderId="15" xfId="11" applyFont="1" applyFill="1" applyBorder="1" applyProtection="1">
      <protection hidden="1"/>
    </xf>
    <xf numFmtId="0" fontId="17" fillId="63" borderId="10" xfId="11" applyFont="1" applyFill="1" applyBorder="1" applyProtection="1">
      <protection hidden="1"/>
    </xf>
    <xf numFmtId="0" fontId="37" fillId="63" borderId="103" xfId="11" applyFont="1" applyFill="1" applyBorder="1" applyAlignment="1" applyProtection="1">
      <alignment horizontal="right"/>
      <protection hidden="1"/>
    </xf>
    <xf numFmtId="166" fontId="18" fillId="63" borderId="59" xfId="11" applyNumberFormat="1" applyFont="1" applyFill="1" applyBorder="1" applyProtection="1">
      <protection hidden="1"/>
    </xf>
    <xf numFmtId="0" fontId="17" fillId="63" borderId="1" xfId="11" applyFont="1" applyFill="1" applyBorder="1" applyAlignment="1" applyProtection="1">
      <alignment horizontal="right"/>
      <protection hidden="1"/>
    </xf>
    <xf numFmtId="0" fontId="18" fillId="63" borderId="1" xfId="11" applyFont="1" applyFill="1" applyBorder="1" applyAlignment="1" applyProtection="1">
      <alignment horizontal="right"/>
      <protection hidden="1"/>
    </xf>
    <xf numFmtId="166" fontId="18" fillId="63" borderId="1" xfId="11" applyNumberFormat="1" applyFont="1" applyFill="1" applyBorder="1" applyProtection="1">
      <protection hidden="1"/>
    </xf>
    <xf numFmtId="166" fontId="18" fillId="63" borderId="66" xfId="11" applyNumberFormat="1" applyFont="1" applyFill="1" applyBorder="1" applyProtection="1">
      <protection hidden="1"/>
    </xf>
    <xf numFmtId="0" fontId="18" fillId="63" borderId="1" xfId="11" applyFont="1" applyFill="1" applyBorder="1" applyAlignment="1" applyProtection="1">
      <alignment horizontal="right" vertical="center"/>
      <protection hidden="1"/>
    </xf>
    <xf numFmtId="166" fontId="18" fillId="63" borderId="1" xfId="11" applyNumberFormat="1" applyFont="1" applyFill="1" applyBorder="1" applyProtection="1">
      <protection locked="0" hidden="1"/>
    </xf>
    <xf numFmtId="166" fontId="18" fillId="63" borderId="72" xfId="11" applyNumberFormat="1" applyFont="1" applyFill="1" applyBorder="1" applyProtection="1">
      <protection hidden="1"/>
    </xf>
    <xf numFmtId="166" fontId="18" fillId="63" borderId="73" xfId="11" applyNumberFormat="1" applyFont="1" applyFill="1" applyBorder="1" applyProtection="1">
      <protection hidden="1"/>
    </xf>
    <xf numFmtId="0" fontId="17" fillId="63" borderId="16" xfId="11" applyFont="1" applyFill="1" applyBorder="1" applyAlignment="1" applyProtection="1">
      <alignment horizontal="right"/>
      <protection hidden="1"/>
    </xf>
    <xf numFmtId="166" fontId="18" fillId="63" borderId="69" xfId="11" applyNumberFormat="1" applyFont="1" applyFill="1" applyBorder="1" applyProtection="1">
      <protection hidden="1"/>
    </xf>
    <xf numFmtId="166" fontId="18" fillId="63" borderId="104" xfId="11" applyNumberFormat="1" applyFont="1" applyFill="1" applyBorder="1" applyProtection="1">
      <protection hidden="1"/>
    </xf>
    <xf numFmtId="166" fontId="18" fillId="63" borderId="91" xfId="11" applyNumberFormat="1" applyFont="1" applyFill="1" applyBorder="1" applyProtection="1">
      <protection hidden="1"/>
    </xf>
    <xf numFmtId="166" fontId="18" fillId="63" borderId="58" xfId="11" applyNumberFormat="1" applyFont="1" applyFill="1" applyBorder="1" applyProtection="1">
      <protection hidden="1"/>
    </xf>
    <xf numFmtId="166" fontId="16" fillId="63" borderId="1" xfId="11" applyNumberFormat="1" applyFont="1" applyFill="1" applyBorder="1" applyAlignment="1" applyProtection="1">
      <alignment vertical="center"/>
      <protection hidden="1"/>
    </xf>
    <xf numFmtId="171" fontId="0" fillId="29" borderId="117" xfId="1" applyNumberFormat="1" applyFont="1" applyFill="1" applyBorder="1" applyAlignment="1" applyProtection="1">
      <alignment horizontal="center" vertical="center"/>
      <protection hidden="1"/>
    </xf>
    <xf numFmtId="2" fontId="16" fillId="63" borderId="50" xfId="2" applyNumberFormat="1" applyFont="1" applyFill="1" applyBorder="1" applyAlignment="1" applyProtection="1">
      <alignment vertical="center"/>
      <protection hidden="1"/>
    </xf>
    <xf numFmtId="2" fontId="16" fillId="63" borderId="117" xfId="13" applyNumberFormat="1" applyFont="1" applyFill="1" applyBorder="1" applyAlignment="1" applyProtection="1">
      <alignment vertical="center"/>
      <protection hidden="1"/>
    </xf>
    <xf numFmtId="0" fontId="0" fillId="29" borderId="117" xfId="1" applyNumberFormat="1" applyFont="1" applyFill="1" applyBorder="1" applyAlignment="1" applyProtection="1">
      <alignment horizontal="center" vertical="center"/>
      <protection hidden="1"/>
    </xf>
    <xf numFmtId="2" fontId="16" fillId="63" borderId="117" xfId="2" applyNumberFormat="1" applyFont="1" applyFill="1" applyBorder="1" applyAlignment="1" applyProtection="1">
      <alignment vertical="center"/>
      <protection hidden="1"/>
    </xf>
    <xf numFmtId="187" fontId="16" fillId="63" borderId="117" xfId="2" applyNumberFormat="1" applyFont="1" applyFill="1" applyBorder="1" applyAlignment="1" applyProtection="1">
      <alignment vertical="center"/>
      <protection hidden="1"/>
    </xf>
    <xf numFmtId="176" fontId="16" fillId="63" borderId="1" xfId="11" applyNumberFormat="1" applyFont="1" applyFill="1" applyBorder="1" applyProtection="1">
      <protection hidden="1"/>
    </xf>
    <xf numFmtId="166" fontId="17" fillId="63" borderId="10" xfId="11" applyNumberFormat="1" applyFont="1" applyFill="1" applyBorder="1" applyProtection="1">
      <protection hidden="1"/>
    </xf>
    <xf numFmtId="166" fontId="18" fillId="63" borderId="39" xfId="11" applyNumberFormat="1" applyFont="1" applyFill="1" applyBorder="1" applyProtection="1">
      <protection hidden="1"/>
    </xf>
    <xf numFmtId="2" fontId="50" fillId="29" borderId="50" xfId="16" applyNumberFormat="1" applyFill="1" applyBorder="1" applyProtection="1">
      <protection hidden="1"/>
    </xf>
    <xf numFmtId="0" fontId="0" fillId="29" borderId="9" xfId="0" applyFill="1" applyBorder="1" applyAlignment="1" applyProtection="1">
      <alignment horizontal="right"/>
      <protection hidden="1"/>
    </xf>
    <xf numFmtId="0" fontId="0" fillId="29" borderId="15" xfId="0" applyFill="1" applyBorder="1" applyAlignment="1" applyProtection="1">
      <alignment horizontal="right"/>
      <protection hidden="1"/>
    </xf>
    <xf numFmtId="0" fontId="0" fillId="29" borderId="10" xfId="0" applyFill="1" applyBorder="1" applyAlignment="1" applyProtection="1">
      <alignment horizontal="right"/>
      <protection hidden="1"/>
    </xf>
    <xf numFmtId="166" fontId="0" fillId="29" borderId="12" xfId="1" applyFont="1" applyFill="1" applyBorder="1" applyAlignment="1" applyProtection="1">
      <alignment horizontal="left"/>
      <protection hidden="1"/>
    </xf>
    <xf numFmtId="0" fontId="0" fillId="29" borderId="7" xfId="0" applyFill="1" applyBorder="1" applyAlignment="1" applyProtection="1">
      <alignment horizontal="right"/>
      <protection hidden="1"/>
    </xf>
    <xf numFmtId="166" fontId="0" fillId="29" borderId="43" xfId="1" applyFont="1" applyFill="1" applyBorder="1" applyProtection="1">
      <protection hidden="1"/>
    </xf>
    <xf numFmtId="187" fontId="0" fillId="29" borderId="136" xfId="0" applyNumberFormat="1" applyFill="1" applyBorder="1" applyAlignment="1" applyProtection="1">
      <alignment horizontal="center" vertical="center"/>
      <protection hidden="1"/>
    </xf>
    <xf numFmtId="0" fontId="0" fillId="29" borderId="16" xfId="0" applyFill="1" applyBorder="1" applyAlignment="1" applyProtection="1">
      <alignment horizontal="right" indent="1"/>
      <protection hidden="1"/>
    </xf>
    <xf numFmtId="166" fontId="0" fillId="29" borderId="0" xfId="1" applyFont="1" applyFill="1" applyBorder="1" applyProtection="1">
      <protection hidden="1"/>
    </xf>
    <xf numFmtId="0" fontId="0" fillId="29" borderId="14" xfId="0" applyFill="1" applyBorder="1" applyAlignment="1" applyProtection="1">
      <alignment horizontal="center" vertical="center"/>
      <protection hidden="1"/>
    </xf>
    <xf numFmtId="0" fontId="0" fillId="29" borderId="16" xfId="0" applyFill="1" applyBorder="1" applyAlignment="1" applyProtection="1">
      <alignment horizontal="right"/>
      <protection hidden="1"/>
    </xf>
    <xf numFmtId="171" fontId="0" fillId="29" borderId="14" xfId="1" applyNumberFormat="1" applyFont="1" applyFill="1" applyBorder="1" applyAlignment="1" applyProtection="1">
      <alignment horizontal="center" vertical="center"/>
      <protection hidden="1"/>
    </xf>
    <xf numFmtId="0" fontId="0" fillId="29" borderId="15" xfId="0" applyFill="1" applyBorder="1" applyAlignment="1" applyProtection="1">
      <alignment horizontal="center" vertical="center"/>
      <protection hidden="1"/>
    </xf>
    <xf numFmtId="0" fontId="3" fillId="29" borderId="16" xfId="0" applyFont="1" applyFill="1" applyBorder="1" applyAlignment="1" applyProtection="1">
      <alignment horizontal="right"/>
      <protection hidden="1"/>
    </xf>
    <xf numFmtId="0" fontId="3" fillId="29" borderId="11" xfId="0" applyFont="1" applyFill="1" applyBorder="1" applyAlignment="1" applyProtection="1">
      <alignment horizontal="right"/>
      <protection hidden="1"/>
    </xf>
    <xf numFmtId="166" fontId="0" fillId="29" borderId="13" xfId="1" applyFont="1" applyFill="1" applyBorder="1" applyProtection="1">
      <protection hidden="1"/>
    </xf>
    <xf numFmtId="0" fontId="17" fillId="63" borderId="9" xfId="11" applyFont="1" applyFill="1" applyBorder="1" applyAlignment="1" applyProtection="1">
      <alignment horizontal="left"/>
      <protection hidden="1"/>
    </xf>
    <xf numFmtId="0" fontId="17" fillId="63" borderId="15" xfId="11" applyFont="1" applyFill="1" applyBorder="1" applyAlignment="1" applyProtection="1">
      <alignment horizontal="left"/>
      <protection hidden="1"/>
    </xf>
    <xf numFmtId="164" fontId="17" fillId="63" borderId="1" xfId="11" applyNumberFormat="1" applyFont="1" applyFill="1" applyBorder="1" applyProtection="1">
      <protection hidden="1"/>
    </xf>
    <xf numFmtId="0" fontId="17" fillId="63" borderId="10" xfId="11" applyFont="1" applyFill="1" applyBorder="1" applyAlignment="1" applyProtection="1">
      <alignment horizontal="left"/>
      <protection hidden="1"/>
    </xf>
    <xf numFmtId="0" fontId="17" fillId="63" borderId="7" xfId="11" applyFont="1" applyFill="1" applyBorder="1" applyAlignment="1" applyProtection="1">
      <alignment horizontal="left"/>
      <protection hidden="1"/>
    </xf>
    <xf numFmtId="0" fontId="17" fillId="63" borderId="8" xfId="11" applyFont="1" applyFill="1" applyBorder="1" applyAlignment="1" applyProtection="1">
      <alignment horizontal="left"/>
      <protection hidden="1"/>
    </xf>
    <xf numFmtId="0" fontId="16" fillId="63" borderId="16" xfId="11" applyFont="1" applyFill="1" applyBorder="1" applyAlignment="1" applyProtection="1">
      <alignment horizontal="left" vertical="center"/>
      <protection hidden="1"/>
    </xf>
    <xf numFmtId="0" fontId="16" fillId="63" borderId="14" xfId="11" applyFont="1" applyFill="1" applyBorder="1" applyAlignment="1" applyProtection="1">
      <alignment horizontal="left" vertical="center"/>
      <protection hidden="1"/>
    </xf>
    <xf numFmtId="0" fontId="17" fillId="63" borderId="16" xfId="11" applyFont="1" applyFill="1" applyBorder="1" applyAlignment="1" applyProtection="1">
      <alignment horizontal="left"/>
      <protection hidden="1"/>
    </xf>
    <xf numFmtId="0" fontId="17" fillId="63" borderId="11" xfId="11" applyFont="1" applyFill="1" applyBorder="1" applyAlignment="1" applyProtection="1">
      <alignment horizontal="left"/>
      <protection hidden="1"/>
    </xf>
    <xf numFmtId="0" fontId="16" fillId="63" borderId="12" xfId="11" applyFont="1" applyFill="1" applyBorder="1" applyAlignment="1" applyProtection="1">
      <alignment horizontal="left" vertical="center"/>
      <protection hidden="1"/>
    </xf>
    <xf numFmtId="175" fontId="14" fillId="29" borderId="50" xfId="0" applyNumberFormat="1" applyFont="1" applyFill="1" applyBorder="1" applyProtection="1">
      <protection hidden="1"/>
    </xf>
    <xf numFmtId="166" fontId="17" fillId="63" borderId="50" xfId="11" applyNumberFormat="1" applyFont="1" applyFill="1" applyBorder="1" applyProtection="1">
      <protection hidden="1"/>
    </xf>
    <xf numFmtId="0" fontId="17" fillId="63" borderId="50" xfId="11" applyFont="1" applyFill="1" applyBorder="1" applyAlignment="1" applyProtection="1">
      <alignment horizontal="left"/>
      <protection locked="0"/>
    </xf>
    <xf numFmtId="173" fontId="0" fillId="29" borderId="10" xfId="0" applyNumberFormat="1" applyFill="1" applyBorder="1" applyAlignment="1" applyProtection="1">
      <alignment horizontal="center" vertical="center"/>
      <protection hidden="1"/>
    </xf>
    <xf numFmtId="0" fontId="113" fillId="3" borderId="0" xfId="16" applyFont="1" applyFill="1" applyProtection="1">
      <protection hidden="1"/>
    </xf>
    <xf numFmtId="164" fontId="1" fillId="2" borderId="114" xfId="18" applyFont="1" applyFill="1" applyBorder="1" applyAlignment="1" applyProtection="1">
      <alignment horizontal="center"/>
      <protection hidden="1"/>
    </xf>
    <xf numFmtId="164" fontId="9" fillId="2" borderId="0" xfId="18" applyFont="1" applyFill="1" applyBorder="1" applyAlignment="1" applyProtection="1">
      <protection hidden="1"/>
    </xf>
    <xf numFmtId="0" fontId="69" fillId="29" borderId="128" xfId="11" applyFont="1" applyFill="1" applyBorder="1" applyAlignment="1">
      <alignment horizontal="left"/>
    </xf>
    <xf numFmtId="0" fontId="7" fillId="29" borderId="0" xfId="11" applyFill="1"/>
    <xf numFmtId="0" fontId="32" fillId="29" borderId="0" xfId="11" applyFont="1" applyFill="1" applyAlignment="1" applyProtection="1">
      <alignment horizontal="center"/>
      <protection hidden="1"/>
    </xf>
    <xf numFmtId="0" fontId="53" fillId="29" borderId="0" xfId="11" applyFont="1" applyFill="1" applyAlignment="1">
      <alignment horizontal="centerContinuous"/>
    </xf>
    <xf numFmtId="0" fontId="32" fillId="29" borderId="0" xfId="11" applyFont="1" applyFill="1" applyAlignment="1" applyProtection="1">
      <alignment horizontal="left"/>
      <protection hidden="1"/>
    </xf>
    <xf numFmtId="0" fontId="68" fillId="29" borderId="129" xfId="11" applyFont="1" applyFill="1" applyBorder="1" applyAlignment="1">
      <alignment horizontal="centerContinuous"/>
    </xf>
    <xf numFmtId="0" fontId="53" fillId="29" borderId="128" xfId="11" applyFont="1" applyFill="1" applyBorder="1" applyAlignment="1">
      <alignment horizontal="left"/>
    </xf>
    <xf numFmtId="0" fontId="67" fillId="29" borderId="0" xfId="11" applyFont="1" applyFill="1" applyAlignment="1">
      <alignment horizontal="right"/>
    </xf>
    <xf numFmtId="49" fontId="32" fillId="29" borderId="1" xfId="12" applyNumberFormat="1" applyFont="1" applyFill="1" applyBorder="1" applyAlignment="1" applyProtection="1">
      <alignment horizontal="center"/>
      <protection locked="0"/>
    </xf>
    <xf numFmtId="0" fontId="65" fillId="29" borderId="0" xfId="11" applyFont="1" applyFill="1" applyProtection="1">
      <protection hidden="1"/>
    </xf>
    <xf numFmtId="0" fontId="56" fillId="29" borderId="0" xfId="11" applyFont="1" applyFill="1"/>
    <xf numFmtId="0" fontId="56" fillId="29" borderId="129" xfId="11" applyFont="1" applyFill="1" applyBorder="1"/>
    <xf numFmtId="0" fontId="66" fillId="29" borderId="0" xfId="11" applyFont="1" applyFill="1" applyAlignment="1">
      <alignment horizontal="right"/>
    </xf>
    <xf numFmtId="0" fontId="65" fillId="29" borderId="0" xfId="11" applyFont="1" applyFill="1" applyAlignment="1">
      <alignment horizontal="right"/>
    </xf>
    <xf numFmtId="0" fontId="59" fillId="29" borderId="103" xfId="11" applyFont="1" applyFill="1" applyBorder="1" applyAlignment="1" applyProtection="1">
      <alignment vertical="top" wrapText="1"/>
      <protection locked="0"/>
    </xf>
    <xf numFmtId="0" fontId="59" fillId="29" borderId="0" xfId="11" applyFont="1" applyFill="1" applyAlignment="1" applyProtection="1">
      <alignment vertical="top" wrapText="1"/>
      <protection locked="0"/>
    </xf>
    <xf numFmtId="0" fontId="59" fillId="29" borderId="88" xfId="11" applyFont="1" applyFill="1" applyBorder="1" applyAlignment="1" applyProtection="1">
      <alignment vertical="top" wrapText="1"/>
      <protection locked="0"/>
    </xf>
    <xf numFmtId="0" fontId="53" fillId="29" borderId="128" xfId="11" applyFont="1" applyFill="1" applyBorder="1"/>
    <xf numFmtId="0" fontId="32" fillId="29" borderId="0" xfId="11" applyFont="1" applyFill="1" applyProtection="1">
      <protection hidden="1"/>
    </xf>
    <xf numFmtId="1" fontId="32" fillId="29" borderId="1" xfId="12" applyNumberFormat="1" applyFont="1" applyFill="1" applyBorder="1" applyAlignment="1" applyProtection="1">
      <alignment horizontal="center"/>
      <protection locked="0"/>
    </xf>
    <xf numFmtId="0" fontId="67" fillId="29" borderId="0" xfId="11" applyFont="1" applyFill="1" applyProtection="1">
      <protection hidden="1"/>
    </xf>
    <xf numFmtId="176" fontId="59" fillId="29" borderId="1" xfId="12" applyNumberFormat="1" applyFont="1" applyFill="1" applyBorder="1" applyAlignment="1" applyProtection="1">
      <protection locked="0"/>
    </xf>
    <xf numFmtId="0" fontId="67" fillId="29" borderId="0" xfId="11" applyFont="1" applyFill="1" applyAlignment="1" applyProtection="1">
      <alignment horizontal="right"/>
      <protection hidden="1"/>
    </xf>
    <xf numFmtId="184" fontId="55" fillId="29" borderId="105" xfId="12" applyNumberFormat="1" applyFont="1" applyFill="1" applyBorder="1" applyProtection="1">
      <protection hidden="1"/>
    </xf>
    <xf numFmtId="184" fontId="61" fillId="29" borderId="0" xfId="11" applyNumberFormat="1" applyFont="1" applyFill="1" applyProtection="1">
      <protection hidden="1"/>
    </xf>
    <xf numFmtId="0" fontId="58" fillId="29" borderId="0" xfId="11" applyFont="1" applyFill="1"/>
    <xf numFmtId="176" fontId="59" fillId="29" borderId="50" xfId="12" applyNumberFormat="1" applyFont="1" applyFill="1" applyBorder="1" applyAlignment="1" applyProtection="1">
      <protection locked="0"/>
    </xf>
    <xf numFmtId="0" fontId="66" fillId="29" borderId="0" xfId="11" applyFont="1" applyFill="1" applyProtection="1">
      <protection hidden="1"/>
    </xf>
    <xf numFmtId="0" fontId="59" fillId="29" borderId="0" xfId="11" applyFont="1" applyFill="1" applyProtection="1">
      <protection hidden="1"/>
    </xf>
    <xf numFmtId="0" fontId="62" fillId="29" borderId="0" xfId="11" applyFont="1" applyFill="1"/>
    <xf numFmtId="0" fontId="7" fillId="29" borderId="0" xfId="11" applyFill="1" applyProtection="1">
      <protection hidden="1"/>
    </xf>
    <xf numFmtId="0" fontId="56" fillId="29" borderId="0" xfId="11" applyFont="1" applyFill="1" applyAlignment="1" applyProtection="1">
      <alignment vertical="top" wrapText="1"/>
      <protection locked="0"/>
    </xf>
    <xf numFmtId="184" fontId="55" fillId="29" borderId="1" xfId="12" applyNumberFormat="1" applyFont="1" applyFill="1" applyBorder="1" applyAlignment="1" applyProtection="1">
      <alignment vertical="center"/>
      <protection hidden="1"/>
    </xf>
    <xf numFmtId="176" fontId="14" fillId="29" borderId="0" xfId="12" applyNumberFormat="1" applyFont="1" applyFill="1" applyBorder="1" applyProtection="1">
      <protection hidden="1"/>
    </xf>
    <xf numFmtId="0" fontId="64" fillId="29" borderId="0" xfId="11" applyFont="1" applyFill="1" applyProtection="1">
      <protection hidden="1"/>
    </xf>
    <xf numFmtId="185" fontId="58" fillId="29" borderId="0" xfId="12" applyNumberFormat="1" applyFont="1" applyFill="1" applyBorder="1" applyProtection="1">
      <protection hidden="1"/>
    </xf>
    <xf numFmtId="0" fontId="63" fillId="29" borderId="0" xfId="11" applyFont="1" applyFill="1" applyAlignment="1">
      <alignment wrapText="1"/>
    </xf>
    <xf numFmtId="0" fontId="63" fillId="29" borderId="0" xfId="11" applyFont="1" applyFill="1" applyAlignment="1">
      <alignment vertical="center" wrapText="1"/>
    </xf>
    <xf numFmtId="0" fontId="62" fillId="29" borderId="0" xfId="11" applyFont="1" applyFill="1" applyProtection="1">
      <protection hidden="1"/>
    </xf>
    <xf numFmtId="0" fontId="63" fillId="29" borderId="0" xfId="11" applyFont="1" applyFill="1" applyAlignment="1">
      <alignment horizontal="left" wrapText="1"/>
    </xf>
    <xf numFmtId="184" fontId="55" fillId="29" borderId="0" xfId="12" applyNumberFormat="1" applyFont="1" applyFill="1" applyBorder="1" applyAlignment="1" applyProtection="1">
      <alignment vertical="center"/>
      <protection hidden="1"/>
    </xf>
    <xf numFmtId="0" fontId="59" fillId="29" borderId="0" xfId="11" applyFont="1" applyFill="1" applyAlignment="1">
      <alignment vertical="center"/>
    </xf>
    <xf numFmtId="0" fontId="58" fillId="29" borderId="0" xfId="11" applyFont="1" applyFill="1" applyAlignment="1">
      <alignment vertical="top" wrapText="1"/>
    </xf>
    <xf numFmtId="0" fontId="59" fillId="29" borderId="0" xfId="11" applyFont="1" applyFill="1" applyAlignment="1">
      <alignment vertical="top" wrapText="1"/>
    </xf>
    <xf numFmtId="0" fontId="57" fillId="29" borderId="0" xfId="11" applyFont="1" applyFill="1"/>
    <xf numFmtId="0" fontId="56" fillId="29" borderId="0" xfId="11" applyFont="1" applyFill="1" applyAlignment="1">
      <alignment vertical="top" wrapText="1"/>
    </xf>
    <xf numFmtId="0" fontId="56" fillId="29" borderId="0" xfId="11" applyFont="1" applyFill="1" applyAlignment="1">
      <alignment horizontal="left" vertical="top" wrapText="1"/>
    </xf>
    <xf numFmtId="0" fontId="55" fillId="29" borderId="0" xfId="11" applyFont="1" applyFill="1" applyAlignment="1">
      <alignment horizontal="center" vertical="top" wrapText="1"/>
    </xf>
    <xf numFmtId="0" fontId="61" fillId="29" borderId="0" xfId="11" applyFont="1" applyFill="1" applyAlignment="1">
      <alignment horizontal="center"/>
    </xf>
    <xf numFmtId="0" fontId="55" fillId="29" borderId="0" xfId="11" applyFont="1" applyFill="1" applyAlignment="1">
      <alignment vertical="center" wrapText="1"/>
    </xf>
    <xf numFmtId="10" fontId="59" fillId="29" borderId="1" xfId="12" applyNumberFormat="1" applyFont="1" applyFill="1" applyBorder="1" applyAlignment="1" applyProtection="1">
      <alignment horizontal="center" vertical="center"/>
      <protection locked="0"/>
    </xf>
    <xf numFmtId="0" fontId="55" fillId="29" borderId="0" xfId="11" applyFont="1" applyFill="1" applyAlignment="1">
      <alignment horizontal="center" vertical="center" wrapText="1"/>
    </xf>
    <xf numFmtId="0" fontId="61" fillId="29" borderId="0" xfId="11" applyFont="1" applyFill="1" applyAlignment="1">
      <alignment horizontal="center" vertical="center"/>
    </xf>
    <xf numFmtId="10" fontId="55" fillId="29" borderId="0" xfId="11" applyNumberFormat="1" applyFont="1" applyFill="1" applyAlignment="1">
      <alignment horizontal="center" vertical="center" wrapText="1"/>
    </xf>
    <xf numFmtId="0" fontId="60" fillId="29" borderId="129" xfId="11" applyFont="1" applyFill="1" applyBorder="1" applyAlignment="1">
      <alignment wrapText="1"/>
    </xf>
    <xf numFmtId="0" fontId="58" fillId="29" borderId="0" xfId="11" applyFont="1" applyFill="1" applyAlignment="1">
      <alignment vertical="center" wrapText="1"/>
    </xf>
    <xf numFmtId="10" fontId="58" fillId="29" borderId="0" xfId="11" applyNumberFormat="1" applyFont="1" applyFill="1" applyAlignment="1">
      <alignment horizontal="left" vertical="center" wrapText="1" indent="1"/>
    </xf>
    <xf numFmtId="0" fontId="59" fillId="29" borderId="0" xfId="11" applyFont="1" applyFill="1" applyAlignment="1">
      <alignment vertical="center" wrapText="1"/>
    </xf>
    <xf numFmtId="0" fontId="59" fillId="29" borderId="0" xfId="11" applyFont="1" applyFill="1"/>
    <xf numFmtId="0" fontId="53" fillId="29" borderId="139" xfId="11" applyFont="1" applyFill="1" applyBorder="1"/>
    <xf numFmtId="0" fontId="58" fillId="29" borderId="140" xfId="11" applyFont="1" applyFill="1" applyBorder="1" applyAlignment="1">
      <alignment vertical="top" wrapText="1"/>
    </xf>
    <xf numFmtId="0" fontId="57" fillId="29" borderId="140" xfId="11" applyFont="1" applyFill="1" applyBorder="1"/>
    <xf numFmtId="0" fontId="56" fillId="29" borderId="140" xfId="11" applyFont="1" applyFill="1" applyBorder="1" applyAlignment="1">
      <alignment vertical="top" wrapText="1"/>
    </xf>
    <xf numFmtId="0" fontId="56" fillId="29" borderId="141" xfId="11" applyFont="1" applyFill="1" applyBorder="1"/>
    <xf numFmtId="0" fontId="2" fillId="64" borderId="1" xfId="0" applyFont="1" applyFill="1" applyBorder="1" applyAlignment="1" applyProtection="1">
      <alignment horizontal="center"/>
      <protection hidden="1"/>
    </xf>
    <xf numFmtId="0" fontId="2" fillId="64" borderId="16" xfId="0" applyFont="1" applyFill="1" applyBorder="1" applyProtection="1">
      <protection hidden="1"/>
    </xf>
    <xf numFmtId="0" fontId="2" fillId="64" borderId="97" xfId="0" applyFont="1" applyFill="1" applyBorder="1" applyAlignment="1" applyProtection="1">
      <alignment horizontal="center"/>
      <protection hidden="1"/>
    </xf>
    <xf numFmtId="0" fontId="2" fillId="64" borderId="62" xfId="0" applyFont="1" applyFill="1" applyBorder="1" applyProtection="1">
      <protection hidden="1"/>
    </xf>
    <xf numFmtId="0" fontId="2" fillId="64" borderId="1" xfId="0" applyFont="1" applyFill="1" applyBorder="1" applyProtection="1">
      <protection hidden="1"/>
    </xf>
    <xf numFmtId="0" fontId="2" fillId="64" borderId="62" xfId="0" applyFont="1" applyFill="1" applyBorder="1" applyAlignment="1" applyProtection="1">
      <alignment horizontal="center"/>
      <protection hidden="1"/>
    </xf>
    <xf numFmtId="0" fontId="2" fillId="64" borderId="77" xfId="0" applyFont="1" applyFill="1" applyBorder="1" applyAlignment="1" applyProtection="1">
      <alignment vertical="center"/>
      <protection hidden="1"/>
    </xf>
    <xf numFmtId="0" fontId="2" fillId="64" borderId="62" xfId="0" applyFont="1" applyFill="1" applyBorder="1" applyAlignment="1" applyProtection="1">
      <alignment wrapText="1"/>
      <protection hidden="1"/>
    </xf>
    <xf numFmtId="0" fontId="2" fillId="64" borderId="121" xfId="0" applyFont="1" applyFill="1" applyBorder="1" applyAlignment="1" applyProtection="1">
      <alignment horizontal="left" vertical="center"/>
      <protection hidden="1"/>
    </xf>
    <xf numFmtId="0" fontId="2" fillId="64" borderId="1" xfId="0" applyFont="1" applyFill="1" applyBorder="1" applyAlignment="1" applyProtection="1">
      <alignment horizontal="center" vertical="center"/>
      <protection hidden="1"/>
    </xf>
    <xf numFmtId="0" fontId="2" fillId="64" borderId="1" xfId="0" applyFont="1" applyFill="1" applyBorder="1" applyAlignment="1" applyProtection="1">
      <alignment horizontal="left" vertical="center"/>
      <protection hidden="1"/>
    </xf>
    <xf numFmtId="0" fontId="2" fillId="64" borderId="61" xfId="0" applyFont="1" applyFill="1" applyBorder="1" applyAlignment="1" applyProtection="1">
      <alignment horizontal="center" vertical="center"/>
      <protection hidden="1"/>
    </xf>
    <xf numFmtId="0" fontId="2" fillId="64" borderId="11" xfId="0" applyFont="1" applyFill="1" applyBorder="1" applyAlignment="1" applyProtection="1">
      <alignment horizontal="right"/>
      <protection hidden="1"/>
    </xf>
    <xf numFmtId="0" fontId="2" fillId="64" borderId="13" xfId="0" applyFont="1" applyFill="1" applyBorder="1" applyAlignment="1" applyProtection="1">
      <alignment horizontal="right"/>
      <protection hidden="1"/>
    </xf>
    <xf numFmtId="0" fontId="2" fillId="64" borderId="12" xfId="0" applyFont="1" applyFill="1" applyBorder="1" applyAlignment="1" applyProtection="1">
      <alignment horizontal="right"/>
      <protection hidden="1"/>
    </xf>
    <xf numFmtId="0" fontId="2" fillId="64" borderId="0" xfId="0" applyFont="1" applyFill="1" applyAlignment="1" applyProtection="1">
      <alignment horizontal="right"/>
      <protection hidden="1"/>
    </xf>
    <xf numFmtId="0" fontId="2" fillId="64" borderId="70" xfId="0" applyFont="1" applyFill="1" applyBorder="1" applyAlignment="1" applyProtection="1">
      <alignment horizontal="right"/>
      <protection hidden="1"/>
    </xf>
    <xf numFmtId="0" fontId="2" fillId="64" borderId="2" xfId="0" applyFont="1" applyFill="1" applyBorder="1" applyProtection="1">
      <protection hidden="1"/>
    </xf>
    <xf numFmtId="0" fontId="0" fillId="64" borderId="3" xfId="0" applyFill="1" applyBorder="1" applyProtection="1">
      <protection hidden="1"/>
    </xf>
    <xf numFmtId="0" fontId="0" fillId="64" borderId="4" xfId="0" applyFill="1" applyBorder="1" applyProtection="1">
      <protection hidden="1"/>
    </xf>
    <xf numFmtId="10" fontId="2" fillId="64" borderId="1" xfId="2" applyNumberFormat="1" applyFont="1" applyFill="1" applyBorder="1" applyProtection="1">
      <protection hidden="1"/>
    </xf>
    <xf numFmtId="0" fontId="2" fillId="64" borderId="7" xfId="0" applyFont="1" applyFill="1" applyBorder="1" applyProtection="1">
      <protection hidden="1"/>
    </xf>
    <xf numFmtId="0" fontId="4" fillId="64" borderId="4" xfId="0" applyFont="1" applyFill="1" applyBorder="1" applyProtection="1">
      <protection hidden="1"/>
    </xf>
    <xf numFmtId="0" fontId="2" fillId="64" borderId="4" xfId="0" applyFont="1" applyFill="1" applyBorder="1" applyProtection="1">
      <protection hidden="1"/>
    </xf>
    <xf numFmtId="0" fontId="0" fillId="64" borderId="42" xfId="0" applyFill="1" applyBorder="1" applyProtection="1">
      <protection hidden="1"/>
    </xf>
    <xf numFmtId="0" fontId="0" fillId="64" borderId="43" xfId="0" applyFill="1" applyBorder="1" applyProtection="1">
      <protection hidden="1"/>
    </xf>
    <xf numFmtId="0" fontId="2" fillId="64" borderId="48" xfId="0" applyFont="1" applyFill="1" applyBorder="1" applyProtection="1">
      <protection hidden="1"/>
    </xf>
    <xf numFmtId="0" fontId="0" fillId="64" borderId="44" xfId="0" applyFill="1" applyBorder="1" applyProtection="1">
      <protection hidden="1"/>
    </xf>
    <xf numFmtId="0" fontId="0" fillId="64" borderId="45" xfId="0" applyFill="1" applyBorder="1" applyProtection="1">
      <protection hidden="1"/>
    </xf>
    <xf numFmtId="166" fontId="27" fillId="65" borderId="1" xfId="11" applyNumberFormat="1" applyFont="1" applyFill="1" applyBorder="1" applyProtection="1">
      <protection hidden="1"/>
    </xf>
    <xf numFmtId="166" fontId="27" fillId="65" borderId="40" xfId="11" applyNumberFormat="1" applyFont="1" applyFill="1" applyBorder="1" applyProtection="1">
      <protection hidden="1"/>
    </xf>
    <xf numFmtId="166" fontId="27" fillId="65" borderId="49" xfId="11" applyNumberFormat="1" applyFont="1" applyFill="1" applyBorder="1" applyProtection="1">
      <protection hidden="1"/>
    </xf>
    <xf numFmtId="166" fontId="27" fillId="65" borderId="54" xfId="11" applyNumberFormat="1" applyFont="1" applyFill="1" applyBorder="1" applyProtection="1">
      <protection hidden="1"/>
    </xf>
    <xf numFmtId="166" fontId="27" fillId="65" borderId="50" xfId="11" applyNumberFormat="1" applyFont="1" applyFill="1" applyBorder="1" applyProtection="1">
      <protection hidden="1"/>
    </xf>
    <xf numFmtId="166" fontId="28" fillId="65" borderId="26" xfId="11" applyNumberFormat="1" applyFont="1" applyFill="1" applyBorder="1" applyAlignment="1" applyProtection="1">
      <alignment vertical="center"/>
      <protection hidden="1"/>
    </xf>
    <xf numFmtId="0" fontId="2" fillId="64" borderId="97" xfId="0" applyFont="1" applyFill="1" applyBorder="1" applyProtection="1">
      <protection hidden="1"/>
    </xf>
    <xf numFmtId="0" fontId="2" fillId="64" borderId="95" xfId="0" applyFont="1" applyFill="1" applyBorder="1" applyProtection="1">
      <protection hidden="1"/>
    </xf>
    <xf numFmtId="0" fontId="2" fillId="64" borderId="0" xfId="0" applyFont="1" applyFill="1" applyAlignment="1" applyProtection="1">
      <alignment horizontal="center"/>
      <protection hidden="1"/>
    </xf>
    <xf numFmtId="0" fontId="2" fillId="64" borderId="0" xfId="0" applyFont="1" applyFill="1" applyProtection="1">
      <protection hidden="1"/>
    </xf>
    <xf numFmtId="0" fontId="0" fillId="64" borderId="0" xfId="0" applyFill="1" applyProtection="1">
      <protection hidden="1"/>
    </xf>
    <xf numFmtId="0" fontId="68" fillId="64" borderId="125" xfId="11" applyFont="1" applyFill="1" applyBorder="1" applyAlignment="1">
      <alignment horizontal="left"/>
    </xf>
    <xf numFmtId="0" fontId="78" fillId="64" borderId="126" xfId="11" applyFont="1" applyFill="1" applyBorder="1" applyAlignment="1">
      <alignment horizontal="left"/>
    </xf>
    <xf numFmtId="0" fontId="73" fillId="64" borderId="126" xfId="11" applyFont="1" applyFill="1" applyBorder="1"/>
    <xf numFmtId="0" fontId="69" fillId="64" borderId="126" xfId="11" applyFont="1" applyFill="1" applyBorder="1"/>
    <xf numFmtId="0" fontId="53" fillId="64" borderId="127" xfId="11" applyFont="1" applyFill="1" applyBorder="1"/>
    <xf numFmtId="0" fontId="72" fillId="64" borderId="0" xfId="11" applyFont="1" applyFill="1"/>
    <xf numFmtId="0" fontId="53" fillId="64" borderId="129" xfId="11" applyFont="1" applyFill="1" applyBorder="1"/>
    <xf numFmtId="0" fontId="76" fillId="64" borderId="130" xfId="11" applyFont="1" applyFill="1" applyBorder="1" applyAlignment="1">
      <alignment horizontal="centerContinuous"/>
    </xf>
    <xf numFmtId="0" fontId="75" fillId="64" borderId="108" xfId="11" applyFont="1" applyFill="1" applyBorder="1" applyAlignment="1">
      <alignment horizontal="left" vertical="top"/>
    </xf>
    <xf numFmtId="0" fontId="74" fillId="64" borderId="108" xfId="11" applyFont="1" applyFill="1" applyBorder="1" applyAlignment="1">
      <alignment vertical="center"/>
    </xf>
    <xf numFmtId="0" fontId="72" fillId="64" borderId="108" xfId="11" applyFont="1" applyFill="1" applyBorder="1" applyAlignment="1">
      <alignment vertical="top"/>
    </xf>
    <xf numFmtId="0" fontId="73" fillId="64" borderId="108" xfId="11" applyFont="1" applyFill="1" applyBorder="1" applyAlignment="1">
      <alignment horizontal="centerContinuous"/>
    </xf>
    <xf numFmtId="0" fontId="68" fillId="64" borderId="131" xfId="11" applyFont="1" applyFill="1" applyBorder="1" applyAlignment="1">
      <alignment horizontal="centerContinuous"/>
    </xf>
    <xf numFmtId="0" fontId="2" fillId="64" borderId="0" xfId="0" applyFont="1" applyFill="1" applyAlignment="1" applyProtection="1">
      <alignment horizontal="right"/>
      <protection hidden="1"/>
    </xf>
    <xf numFmtId="0" fontId="2" fillId="8" borderId="0" xfId="0" applyFont="1" applyFill="1" applyAlignment="1" applyProtection="1">
      <alignment horizontal="right"/>
      <protection hidden="1"/>
    </xf>
    <xf numFmtId="0" fontId="2" fillId="64" borderId="11" xfId="0" applyFont="1" applyFill="1" applyBorder="1" applyAlignment="1" applyProtection="1">
      <alignment horizontal="right"/>
      <protection hidden="1"/>
    </xf>
    <xf numFmtId="0" fontId="2" fillId="8" borderId="13" xfId="0" applyFont="1" applyFill="1" applyBorder="1" applyAlignment="1" applyProtection="1">
      <alignment horizontal="right"/>
      <protection hidden="1"/>
    </xf>
    <xf numFmtId="0" fontId="2" fillId="8" borderId="12" xfId="0" applyFont="1" applyFill="1" applyBorder="1" applyAlignment="1" applyProtection="1">
      <alignment horizontal="right"/>
      <protection hidden="1"/>
    </xf>
    <xf numFmtId="0" fontId="2" fillId="64" borderId="74" xfId="0" applyFont="1" applyFill="1" applyBorder="1" applyAlignment="1" applyProtection="1">
      <alignment horizontal="right"/>
      <protection hidden="1"/>
    </xf>
    <xf numFmtId="0" fontId="2" fillId="8" borderId="75" xfId="0" applyFont="1" applyFill="1" applyBorder="1" applyAlignment="1" applyProtection="1">
      <alignment horizontal="right"/>
      <protection hidden="1"/>
    </xf>
    <xf numFmtId="0" fontId="2" fillId="8" borderId="76" xfId="0" applyFont="1" applyFill="1" applyBorder="1" applyAlignment="1" applyProtection="1">
      <alignment horizontal="right"/>
      <protection hidden="1"/>
    </xf>
    <xf numFmtId="0" fontId="2" fillId="64" borderId="98" xfId="0" applyFont="1" applyFill="1" applyBorder="1" applyAlignment="1" applyProtection="1">
      <alignment horizontal="right"/>
      <protection hidden="1"/>
    </xf>
    <xf numFmtId="0" fontId="2" fillId="8" borderId="100" xfId="0" applyFont="1" applyFill="1" applyBorder="1" applyAlignment="1" applyProtection="1">
      <alignment horizontal="right"/>
      <protection hidden="1"/>
    </xf>
    <xf numFmtId="0" fontId="2" fillId="8" borderId="99" xfId="0" applyFont="1" applyFill="1" applyBorder="1" applyAlignment="1" applyProtection="1">
      <alignment horizontal="right"/>
      <protection hidden="1"/>
    </xf>
    <xf numFmtId="0" fontId="2" fillId="64" borderId="103" xfId="0" applyFont="1" applyFill="1" applyBorder="1" applyAlignment="1" applyProtection="1">
      <alignment horizontal="right"/>
      <protection hidden="1"/>
    </xf>
    <xf numFmtId="0" fontId="2" fillId="8" borderId="88" xfId="0" applyFont="1" applyFill="1" applyBorder="1" applyAlignment="1" applyProtection="1">
      <alignment horizontal="right"/>
      <protection hidden="1"/>
    </xf>
    <xf numFmtId="0" fontId="2" fillId="64" borderId="13" xfId="0" applyFont="1" applyFill="1" applyBorder="1" applyAlignment="1" applyProtection="1">
      <alignment horizontal="right"/>
      <protection hidden="1"/>
    </xf>
    <xf numFmtId="0" fontId="2" fillId="8" borderId="71" xfId="0" applyFont="1" applyFill="1" applyBorder="1" applyAlignment="1" applyProtection="1">
      <alignment horizontal="right"/>
      <protection hidden="1"/>
    </xf>
    <xf numFmtId="0" fontId="29" fillId="15" borderId="0" xfId="11" applyFont="1" applyFill="1" applyAlignment="1" applyProtection="1">
      <alignment horizontal="left" wrapText="1"/>
      <protection hidden="1"/>
    </xf>
    <xf numFmtId="0" fontId="29" fillId="15" borderId="100" xfId="11" applyFont="1" applyFill="1" applyBorder="1" applyAlignment="1" applyProtection="1">
      <alignment horizontal="left" wrapText="1"/>
      <protection hidden="1"/>
    </xf>
    <xf numFmtId="0" fontId="29" fillId="15" borderId="13" xfId="11" applyFont="1" applyFill="1" applyBorder="1" applyAlignment="1" applyProtection="1">
      <alignment horizontal="left" wrapText="1"/>
      <protection hidden="1"/>
    </xf>
    <xf numFmtId="0" fontId="2" fillId="64" borderId="134" xfId="0" applyFont="1" applyFill="1" applyBorder="1" applyAlignment="1" applyProtection="1">
      <alignment horizontal="right"/>
      <protection hidden="1"/>
    </xf>
    <xf numFmtId="0" fontId="2" fillId="8" borderId="151" xfId="0" applyFont="1" applyFill="1" applyBorder="1" applyAlignment="1" applyProtection="1">
      <alignment horizontal="right"/>
      <protection hidden="1"/>
    </xf>
    <xf numFmtId="0" fontId="2" fillId="8" borderId="136" xfId="0" applyFont="1" applyFill="1" applyBorder="1" applyAlignment="1" applyProtection="1">
      <alignment horizontal="right"/>
      <protection hidden="1"/>
    </xf>
    <xf numFmtId="0" fontId="2" fillId="8" borderId="70" xfId="0" applyFont="1" applyFill="1" applyBorder="1" applyAlignment="1" applyProtection="1">
      <alignment horizontal="right"/>
      <protection hidden="1"/>
    </xf>
    <xf numFmtId="0" fontId="39" fillId="22" borderId="0" xfId="11" applyFont="1" applyFill="1" applyAlignment="1" applyProtection="1">
      <alignment horizontal="center"/>
      <protection hidden="1"/>
    </xf>
    <xf numFmtId="0" fontId="16" fillId="16" borderId="0" xfId="11" applyFont="1" applyFill="1" applyAlignment="1" applyProtection="1">
      <alignment horizontal="left" wrapText="1"/>
      <protection hidden="1"/>
    </xf>
    <xf numFmtId="0" fontId="7" fillId="3" borderId="0" xfId="11" applyFill="1" applyAlignment="1" applyProtection="1">
      <alignment wrapText="1"/>
      <protection hidden="1"/>
    </xf>
    <xf numFmtId="0" fontId="18" fillId="12" borderId="0" xfId="11" applyFont="1" applyFill="1" applyAlignment="1" applyProtection="1">
      <alignment horizontal="left" vertical="top" wrapText="1"/>
      <protection hidden="1"/>
    </xf>
    <xf numFmtId="0" fontId="7" fillId="0" borderId="0" xfId="11" applyAlignment="1" applyProtection="1">
      <alignment horizontal="left" vertical="top" wrapText="1"/>
      <protection hidden="1"/>
    </xf>
    <xf numFmtId="0" fontId="16" fillId="3" borderId="0" xfId="11" applyFont="1" applyFill="1" applyAlignment="1" applyProtection="1">
      <alignment horizontal="left" wrapText="1"/>
      <protection hidden="1"/>
    </xf>
    <xf numFmtId="174" fontId="0" fillId="3" borderId="0" xfId="0" applyNumberFormat="1" applyFill="1" applyAlignment="1" applyProtection="1">
      <alignment horizontal="right"/>
      <protection hidden="1"/>
    </xf>
    <xf numFmtId="0" fontId="2" fillId="4" borderId="13" xfId="0" applyFont="1" applyFill="1" applyBorder="1" applyAlignment="1" applyProtection="1">
      <alignment horizontal="center"/>
      <protection hidden="1"/>
    </xf>
    <xf numFmtId="0" fontId="2" fillId="4" borderId="12" xfId="0" applyFont="1" applyFill="1" applyBorder="1" applyAlignment="1" applyProtection="1">
      <alignment horizontal="center"/>
      <protection hidden="1"/>
    </xf>
    <xf numFmtId="166" fontId="17" fillId="13" borderId="46" xfId="11" applyNumberFormat="1" applyFont="1" applyFill="1" applyBorder="1" applyAlignment="1" applyProtection="1">
      <alignment horizontal="center"/>
      <protection hidden="1"/>
    </xf>
    <xf numFmtId="166" fontId="17" fillId="13" borderId="47" xfId="11" applyNumberFormat="1" applyFont="1" applyFill="1" applyBorder="1" applyAlignment="1" applyProtection="1">
      <alignment horizontal="center"/>
      <protection hidden="1"/>
    </xf>
    <xf numFmtId="0" fontId="2" fillId="4" borderId="16" xfId="0" applyFont="1" applyFill="1" applyBorder="1" applyAlignment="1" applyProtection="1">
      <alignment horizontal="center"/>
      <protection hidden="1"/>
    </xf>
    <xf numFmtId="0" fontId="2" fillId="4" borderId="14" xfId="0" applyFont="1" applyFill="1" applyBorder="1" applyAlignment="1" applyProtection="1">
      <alignment horizontal="center"/>
      <protection hidden="1"/>
    </xf>
    <xf numFmtId="0" fontId="2" fillId="4" borderId="7" xfId="0" applyFont="1" applyFill="1" applyBorder="1" applyAlignment="1" applyProtection="1">
      <alignment horizontal="center"/>
      <protection hidden="1"/>
    </xf>
    <xf numFmtId="0" fontId="2" fillId="4" borderId="8" xfId="0" applyFont="1" applyFill="1" applyBorder="1" applyAlignment="1" applyProtection="1">
      <alignment horizontal="center"/>
      <protection hidden="1"/>
    </xf>
    <xf numFmtId="0" fontId="0" fillId="29" borderId="7" xfId="0" applyFill="1" applyBorder="1" applyAlignment="1" applyProtection="1">
      <alignment horizontal="right" vertical="center"/>
      <protection hidden="1"/>
    </xf>
    <xf numFmtId="0" fontId="0" fillId="7" borderId="8" xfId="0" applyFill="1" applyBorder="1" applyAlignment="1" applyProtection="1">
      <alignment horizontal="right" vertical="center"/>
      <protection hidden="1"/>
    </xf>
    <xf numFmtId="0" fontId="0" fillId="3" borderId="12"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0" fillId="29" borderId="7" xfId="0" applyFill="1" applyBorder="1" applyAlignment="1" applyProtection="1">
      <alignment horizontal="right"/>
      <protection hidden="1"/>
    </xf>
    <xf numFmtId="0" fontId="0" fillId="7" borderId="8" xfId="0" applyFill="1" applyBorder="1" applyAlignment="1" applyProtection="1">
      <alignment horizontal="right"/>
      <protection hidden="1"/>
    </xf>
    <xf numFmtId="0" fontId="0" fillId="29" borderId="16" xfId="0" applyFill="1" applyBorder="1" applyAlignment="1" applyProtection="1">
      <alignment horizontal="right"/>
      <protection hidden="1"/>
    </xf>
    <xf numFmtId="0" fontId="0" fillId="7" borderId="14" xfId="0" applyFill="1" applyBorder="1" applyAlignment="1" applyProtection="1">
      <alignment horizontal="right"/>
      <protection hidden="1"/>
    </xf>
    <xf numFmtId="0" fontId="0" fillId="29" borderId="11" xfId="0" applyFill="1" applyBorder="1" applyAlignment="1" applyProtection="1">
      <alignment horizontal="right"/>
      <protection hidden="1"/>
    </xf>
    <xf numFmtId="0" fontId="0" fillId="7" borderId="12" xfId="0" applyFill="1" applyBorder="1" applyAlignment="1" applyProtection="1">
      <alignment horizontal="right"/>
      <protection hidden="1"/>
    </xf>
    <xf numFmtId="0" fontId="0" fillId="29" borderId="16" xfId="0" applyFill="1" applyBorder="1" applyAlignment="1" applyProtection="1">
      <alignment horizontal="right" vertical="center"/>
      <protection hidden="1"/>
    </xf>
    <xf numFmtId="0" fontId="0" fillId="7" borderId="14" xfId="0" applyFill="1" applyBorder="1" applyAlignment="1" applyProtection="1">
      <alignment horizontal="right" vertical="center"/>
      <protection hidden="1"/>
    </xf>
    <xf numFmtId="0" fontId="2" fillId="64" borderId="16" xfId="0" applyFont="1" applyFill="1" applyBorder="1" applyAlignment="1" applyProtection="1">
      <alignment horizontal="left"/>
      <protection hidden="1"/>
    </xf>
    <xf numFmtId="0" fontId="2" fillId="8" borderId="0" xfId="0" applyFont="1" applyFill="1" applyAlignment="1" applyProtection="1">
      <alignment horizontal="left"/>
      <protection hidden="1"/>
    </xf>
    <xf numFmtId="0" fontId="2" fillId="8" borderId="14" xfId="0" applyFont="1" applyFill="1" applyBorder="1" applyAlignment="1" applyProtection="1">
      <alignment horizontal="left"/>
      <protection hidden="1"/>
    </xf>
    <xf numFmtId="0" fontId="2" fillId="4" borderId="103" xfId="0" applyFont="1" applyFill="1" applyBorder="1" applyAlignment="1" applyProtection="1">
      <alignment horizontal="center"/>
      <protection hidden="1"/>
    </xf>
    <xf numFmtId="0" fontId="2" fillId="4" borderId="88" xfId="0" applyFont="1" applyFill="1" applyBorder="1" applyAlignment="1" applyProtection="1">
      <alignment horizontal="center"/>
      <protection hidden="1"/>
    </xf>
    <xf numFmtId="0" fontId="2" fillId="64" borderId="7" xfId="0" applyFont="1" applyFill="1" applyBorder="1" applyAlignment="1" applyProtection="1">
      <alignment horizontal="left"/>
      <protection hidden="1"/>
    </xf>
    <xf numFmtId="0" fontId="2" fillId="8" borderId="43" xfId="0" applyFont="1" applyFill="1" applyBorder="1" applyAlignment="1" applyProtection="1">
      <alignment horizontal="left"/>
      <protection hidden="1"/>
    </xf>
    <xf numFmtId="0" fontId="2" fillId="8" borderId="8" xfId="0" applyFont="1" applyFill="1" applyBorder="1" applyAlignment="1" applyProtection="1">
      <alignment horizontal="left"/>
      <protection hidden="1"/>
    </xf>
    <xf numFmtId="0" fontId="0" fillId="29" borderId="11" xfId="0" applyFill="1" applyBorder="1" applyAlignment="1" applyProtection="1">
      <alignment horizontal="right" vertical="center"/>
      <protection hidden="1"/>
    </xf>
    <xf numFmtId="0" fontId="0" fillId="7" borderId="12" xfId="0" applyFill="1" applyBorder="1" applyAlignment="1" applyProtection="1">
      <alignment horizontal="right" vertical="center"/>
      <protection hidden="1"/>
    </xf>
    <xf numFmtId="170" fontId="9" fillId="2" borderId="2" xfId="3" applyNumberFormat="1" applyFont="1" applyFill="1" applyBorder="1" applyAlignment="1" applyProtection="1">
      <alignment horizontal="center"/>
      <protection hidden="1"/>
    </xf>
    <xf numFmtId="170" fontId="9" fillId="2" borderId="4" xfId="3" applyNumberFormat="1" applyFont="1" applyFill="1" applyBorder="1" applyAlignment="1" applyProtection="1">
      <alignment horizontal="center"/>
      <protection hidden="1"/>
    </xf>
    <xf numFmtId="170" fontId="8" fillId="2" borderId="2" xfId="3" applyNumberFormat="1" applyFont="1" applyFill="1" applyBorder="1" applyAlignment="1" applyProtection="1">
      <alignment horizontal="center"/>
      <protection hidden="1"/>
    </xf>
    <xf numFmtId="170" fontId="8" fillId="2" borderId="4" xfId="3" applyNumberFormat="1" applyFont="1" applyFill="1" applyBorder="1" applyAlignment="1" applyProtection="1">
      <alignment horizontal="center"/>
      <protection hidden="1"/>
    </xf>
    <xf numFmtId="0" fontId="77" fillId="64" borderId="128" xfId="11" applyFont="1" applyFill="1" applyBorder="1" applyAlignment="1">
      <alignment horizontal="left" indent="1"/>
    </xf>
    <xf numFmtId="0" fontId="77" fillId="28" borderId="0" xfId="11" applyFont="1" applyFill="1" applyAlignment="1">
      <alignment horizontal="left" indent="1"/>
    </xf>
    <xf numFmtId="0" fontId="74" fillId="64" borderId="108" xfId="11" applyFont="1" applyFill="1" applyBorder="1" applyAlignment="1">
      <alignment horizontal="center" vertical="center"/>
    </xf>
    <xf numFmtId="0" fontId="74" fillId="28" borderId="108" xfId="11" applyFont="1" applyFill="1" applyBorder="1" applyAlignment="1">
      <alignment horizontal="center" vertical="center"/>
    </xf>
    <xf numFmtId="0" fontId="63" fillId="29" borderId="134" xfId="11" applyFont="1" applyFill="1" applyBorder="1" applyAlignment="1">
      <alignment horizontal="left" indent="1"/>
    </xf>
    <xf numFmtId="0" fontId="63" fillId="29" borderId="135" xfId="11" applyFont="1" applyFill="1" applyBorder="1" applyAlignment="1">
      <alignment horizontal="left" indent="1"/>
    </xf>
    <xf numFmtId="0" fontId="63" fillId="29" borderId="136" xfId="11" applyFont="1" applyFill="1" applyBorder="1" applyAlignment="1">
      <alignment horizontal="left" indent="1"/>
    </xf>
    <xf numFmtId="0" fontId="63" fillId="29" borderId="0" xfId="11" applyFont="1" applyFill="1" applyAlignment="1">
      <alignment horizontal="center" vertical="center" wrapText="1"/>
    </xf>
    <xf numFmtId="0" fontId="63" fillId="29" borderId="103" xfId="11" applyFont="1" applyFill="1" applyBorder="1" applyAlignment="1">
      <alignment horizontal="left" indent="1"/>
    </xf>
    <xf numFmtId="0" fontId="63" fillId="29" borderId="0" xfId="11" applyFont="1" applyFill="1" applyAlignment="1">
      <alignment horizontal="left" indent="1"/>
    </xf>
    <xf numFmtId="0" fontId="63" fillId="29" borderId="88" xfId="11" applyFont="1" applyFill="1" applyBorder="1" applyAlignment="1">
      <alignment horizontal="left" indent="1"/>
    </xf>
    <xf numFmtId="0" fontId="59" fillId="29" borderId="103" xfId="11" applyFont="1" applyFill="1" applyBorder="1" applyAlignment="1" applyProtection="1">
      <alignment horizontal="left" vertical="top" wrapText="1"/>
      <protection locked="0"/>
    </xf>
    <xf numFmtId="0" fontId="59" fillId="29" borderId="0" xfId="11" applyFont="1" applyFill="1" applyAlignment="1" applyProtection="1">
      <alignment horizontal="left" vertical="top" wrapText="1"/>
      <protection locked="0"/>
    </xf>
    <xf numFmtId="0" fontId="59" fillId="29" borderId="88" xfId="11" applyFont="1" applyFill="1" applyBorder="1" applyAlignment="1" applyProtection="1">
      <alignment horizontal="left" vertical="top" wrapText="1"/>
      <protection locked="0"/>
    </xf>
    <xf numFmtId="0" fontId="59" fillId="29" borderId="11" xfId="11" applyFont="1" applyFill="1" applyBorder="1" applyAlignment="1" applyProtection="1">
      <alignment horizontal="left" vertical="top" wrapText="1"/>
      <protection locked="0"/>
    </xf>
    <xf numFmtId="0" fontId="59" fillId="29" borderId="13" xfId="11" applyFont="1" applyFill="1" applyBorder="1" applyAlignment="1" applyProtection="1">
      <alignment horizontal="left" vertical="top" wrapText="1"/>
      <protection locked="0"/>
    </xf>
    <xf numFmtId="0" fontId="59" fillId="29" borderId="12" xfId="11" applyFont="1" applyFill="1" applyBorder="1" applyAlignment="1" applyProtection="1">
      <alignment horizontal="left" vertical="top" wrapText="1"/>
      <protection locked="0"/>
    </xf>
    <xf numFmtId="0" fontId="59" fillId="29" borderId="0" xfId="11" applyFont="1" applyFill="1" applyAlignment="1">
      <alignment horizontal="left" vertical="center"/>
    </xf>
    <xf numFmtId="0" fontId="59" fillId="29" borderId="0" xfId="11" applyFont="1" applyFill="1" applyAlignment="1">
      <alignment horizontal="left" vertical="top"/>
    </xf>
    <xf numFmtId="0" fontId="63" fillId="29" borderId="118" xfId="11" applyFont="1" applyFill="1" applyBorder="1" applyAlignment="1">
      <alignment horizontal="left" indent="1"/>
    </xf>
    <xf numFmtId="0" fontId="63" fillId="29" borderId="119" xfId="11" applyFont="1" applyFill="1" applyBorder="1" applyAlignment="1">
      <alignment horizontal="left" indent="1"/>
    </xf>
    <xf numFmtId="0" fontId="63" fillId="29" borderId="120" xfId="11" applyFont="1" applyFill="1" applyBorder="1" applyAlignment="1">
      <alignment horizontal="left" indent="1"/>
    </xf>
    <xf numFmtId="0" fontId="2" fillId="3" borderId="0" xfId="0" applyFont="1" applyFill="1" applyAlignment="1" applyProtection="1">
      <alignment horizontal="center"/>
      <protection hidden="1"/>
    </xf>
    <xf numFmtId="0" fontId="2" fillId="64" borderId="0" xfId="0" applyFont="1" applyFill="1" applyAlignment="1" applyProtection="1">
      <alignment horizontal="center"/>
      <protection hidden="1"/>
    </xf>
    <xf numFmtId="0" fontId="2" fillId="28" borderId="0" xfId="0" applyFont="1" applyFill="1" applyAlignment="1" applyProtection="1">
      <alignment horizontal="center"/>
      <protection hidden="1"/>
    </xf>
    <xf numFmtId="0" fontId="0" fillId="3" borderId="114" xfId="0" applyFill="1" applyBorder="1" applyAlignment="1" applyProtection="1">
      <alignment horizontal="center"/>
      <protection locked="0" hidden="1"/>
    </xf>
    <xf numFmtId="0" fontId="80" fillId="29" borderId="0" xfId="0" applyFont="1" applyFill="1" applyAlignment="1" applyProtection="1">
      <alignment horizontal="center" vertical="top" wrapText="1"/>
      <protection hidden="1"/>
    </xf>
    <xf numFmtId="0" fontId="2" fillId="64" borderId="0" xfId="0" applyFont="1" applyFill="1" applyAlignment="1" applyProtection="1">
      <alignment horizontal="center" vertical="center"/>
      <protection hidden="1"/>
    </xf>
    <xf numFmtId="0" fontId="2" fillId="28" borderId="0" xfId="0" applyFont="1" applyFill="1" applyAlignment="1" applyProtection="1">
      <alignment horizontal="center" vertical="center"/>
      <protection hidden="1"/>
    </xf>
    <xf numFmtId="0" fontId="43" fillId="0" borderId="85" xfId="0" applyFont="1" applyBorder="1" applyAlignment="1" applyProtection="1">
      <alignment horizontal="left"/>
      <protection locked="0"/>
    </xf>
    <xf numFmtId="0" fontId="43" fillId="0" borderId="84" xfId="0" applyFont="1" applyBorder="1" applyAlignment="1" applyProtection="1">
      <alignment horizontal="left"/>
      <protection locked="0"/>
    </xf>
    <xf numFmtId="0" fontId="43" fillId="0" borderId="83" xfId="0" applyFont="1" applyBorder="1" applyAlignment="1" applyProtection="1">
      <alignment horizontal="left"/>
      <protection locked="0"/>
    </xf>
    <xf numFmtId="0" fontId="50" fillId="3" borderId="94" xfId="16" applyFill="1" applyBorder="1" applyAlignment="1" applyProtection="1">
      <alignment horizontal="center"/>
      <protection locked="0"/>
    </xf>
    <xf numFmtId="0" fontId="50" fillId="3" borderId="93" xfId="16" applyFill="1" applyBorder="1" applyAlignment="1" applyProtection="1">
      <alignment horizontal="center"/>
      <protection locked="0"/>
    </xf>
    <xf numFmtId="0" fontId="50" fillId="3" borderId="97" xfId="16" applyFill="1" applyBorder="1" applyAlignment="1" applyProtection="1">
      <alignment horizontal="center"/>
      <protection locked="0"/>
    </xf>
    <xf numFmtId="0" fontId="50" fillId="3" borderId="96" xfId="16" applyFill="1" applyBorder="1" applyAlignment="1" applyProtection="1">
      <alignment horizontal="center"/>
      <protection locked="0"/>
    </xf>
    <xf numFmtId="0" fontId="2" fillId="64" borderId="98" xfId="0" applyFont="1" applyFill="1" applyBorder="1" applyAlignment="1" applyProtection="1">
      <alignment horizontal="left"/>
      <protection hidden="1"/>
    </xf>
    <xf numFmtId="0" fontId="2" fillId="8" borderId="99" xfId="0" applyFont="1" applyFill="1" applyBorder="1" applyAlignment="1" applyProtection="1">
      <alignment horizontal="left"/>
      <protection hidden="1"/>
    </xf>
    <xf numFmtId="0" fontId="2" fillId="64" borderId="11"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2" fillId="8" borderId="13" xfId="0" applyFont="1" applyFill="1" applyBorder="1" applyAlignment="1" applyProtection="1">
      <alignment horizontal="left"/>
      <protection hidden="1"/>
    </xf>
    <xf numFmtId="0" fontId="2" fillId="64" borderId="97" xfId="0" applyFont="1" applyFill="1" applyBorder="1" applyAlignment="1" applyProtection="1">
      <alignment horizontal="left"/>
      <protection hidden="1"/>
    </xf>
    <xf numFmtId="0" fontId="2" fillId="8" borderId="95" xfId="0" applyFont="1" applyFill="1" applyBorder="1" applyAlignment="1" applyProtection="1">
      <alignment horizontal="left"/>
      <protection hidden="1"/>
    </xf>
    <xf numFmtId="0" fontId="2" fillId="8" borderId="96" xfId="0" applyFont="1" applyFill="1" applyBorder="1" applyAlignment="1" applyProtection="1">
      <alignment horizontal="left"/>
      <protection hidden="1"/>
    </xf>
    <xf numFmtId="0" fontId="50" fillId="29" borderId="97" xfId="16" applyFill="1" applyBorder="1" applyAlignment="1" applyProtection="1">
      <alignment horizontal="center"/>
      <protection hidden="1"/>
    </xf>
    <xf numFmtId="0" fontId="50" fillId="20" borderId="96" xfId="16" applyFill="1" applyBorder="1" applyAlignment="1" applyProtection="1">
      <alignment horizontal="center"/>
      <protection hidden="1"/>
    </xf>
    <xf numFmtId="0" fontId="50" fillId="3" borderId="16" xfId="16" applyFill="1" applyBorder="1" applyAlignment="1" applyProtection="1">
      <alignment horizontal="center"/>
      <protection locked="0"/>
    </xf>
    <xf numFmtId="0" fontId="50" fillId="3" borderId="88" xfId="16" applyFill="1" applyBorder="1" applyAlignment="1" applyProtection="1">
      <alignment horizontal="center"/>
      <protection locked="0"/>
    </xf>
    <xf numFmtId="0" fontId="50" fillId="3" borderId="50" xfId="16" applyFill="1" applyBorder="1" applyAlignment="1" applyProtection="1">
      <alignment horizontal="center"/>
      <protection locked="0"/>
    </xf>
    <xf numFmtId="171" fontId="50" fillId="3" borderId="50" xfId="1" applyNumberFormat="1" applyFont="1" applyFill="1" applyBorder="1" applyAlignment="1" applyProtection="1">
      <alignment horizontal="center"/>
      <protection locked="0"/>
    </xf>
    <xf numFmtId="10" fontId="50" fillId="3" borderId="50" xfId="16" applyNumberFormat="1" applyFill="1" applyBorder="1" applyAlignment="1" applyProtection="1">
      <alignment horizontal="center"/>
      <protection locked="0"/>
    </xf>
    <xf numFmtId="171" fontId="50" fillId="29" borderId="50" xfId="1" applyNumberFormat="1" applyFont="1" applyFill="1" applyBorder="1" applyAlignment="1" applyProtection="1">
      <alignment horizontal="center"/>
      <protection hidden="1"/>
    </xf>
    <xf numFmtId="171" fontId="50" fillId="20" borderId="50" xfId="1" applyNumberFormat="1" applyFont="1" applyFill="1" applyBorder="1" applyAlignment="1" applyProtection="1">
      <alignment horizontal="center"/>
      <protection hidden="1"/>
    </xf>
    <xf numFmtId="171" fontId="50" fillId="29" borderId="50" xfId="16" applyNumberFormat="1" applyFill="1" applyBorder="1" applyAlignment="1" applyProtection="1">
      <alignment horizontal="center"/>
      <protection hidden="1"/>
    </xf>
    <xf numFmtId="171" fontId="50" fillId="20" borderId="50" xfId="16" applyNumberFormat="1" applyFill="1" applyBorder="1" applyAlignment="1" applyProtection="1">
      <alignment horizontal="center"/>
      <protection hidden="1"/>
    </xf>
    <xf numFmtId="171" fontId="50" fillId="3" borderId="50" xfId="16" applyNumberFormat="1" applyFill="1" applyBorder="1" applyAlignment="1" applyProtection="1">
      <alignment horizontal="center"/>
      <protection locked="0"/>
    </xf>
    <xf numFmtId="0" fontId="0" fillId="0" borderId="134" xfId="0" applyBorder="1" applyAlignment="1" applyProtection="1">
      <alignment horizontal="left" vertical="top" wrapText="1"/>
      <protection locked="0"/>
    </xf>
    <xf numFmtId="0" fontId="0" fillId="0" borderId="151" xfId="0" applyBorder="1" applyAlignment="1" applyProtection="1">
      <alignment horizontal="left" vertical="top" wrapText="1"/>
      <protection locked="0"/>
    </xf>
    <xf numFmtId="0" fontId="0" fillId="0" borderId="136"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0" xfId="0" applyAlignment="1" applyProtection="1">
      <alignment horizontal="left" vertical="top" wrapText="1"/>
      <protection hidden="1"/>
    </xf>
    <xf numFmtId="0" fontId="0" fillId="0" borderId="0" xfId="0" applyAlignment="1" applyProtection="1">
      <alignment horizontal="left" vertical="top"/>
      <protection hidden="1"/>
    </xf>
    <xf numFmtId="0" fontId="112" fillId="62" borderId="0" xfId="0" applyFont="1" applyFill="1" applyAlignment="1">
      <alignment horizontal="center" vertical="center"/>
    </xf>
    <xf numFmtId="0" fontId="51" fillId="8" borderId="50" xfId="0" applyFont="1" applyFill="1" applyBorder="1" applyAlignment="1" applyProtection="1">
      <alignment horizontal="center"/>
      <protection hidden="1"/>
    </xf>
    <xf numFmtId="0" fontId="42" fillId="0" borderId="0" xfId="11" applyFont="1" applyAlignment="1">
      <alignment horizontal="center"/>
    </xf>
  </cellXfs>
  <cellStyles count="871">
    <cellStyle name="20% - Accent1" xfId="34" builtinId="30" customBuiltin="1"/>
    <cellStyle name="20% - Accent1 10" xfId="455" xr:uid="{BE561DA6-56AF-428A-AAB7-46FA5AE39824}"/>
    <cellStyle name="20% - Accent1 11" xfId="468" xr:uid="{EB3F5F24-3326-4B98-B2F1-4AE7D1166207}"/>
    <cellStyle name="20% - Accent1 2" xfId="62" xr:uid="{1E1A9017-58D7-49B3-BFF0-33B10EB22504}"/>
    <cellStyle name="20% - Accent1 2 2" xfId="115" xr:uid="{89DF3E43-7866-4E11-B54B-DD29FCB27A32}"/>
    <cellStyle name="20% - Accent1 2 2 2" xfId="220" xr:uid="{AA94100B-C2F1-4885-8ACE-1F21D73DAA37}"/>
    <cellStyle name="20% - Accent1 2 2 2 2" xfId="429" xr:uid="{B773DE9C-2D1C-410B-8195-8D4BABA8A0F0}"/>
    <cellStyle name="20% - Accent1 2 2 2 2 2" xfId="846" xr:uid="{020472FA-A2AB-4057-8F35-94C16DCD6E02}"/>
    <cellStyle name="20% - Accent1 2 2 2 3" xfId="638" xr:uid="{66C42182-0C0E-44DF-9B2E-52739CFE5578}"/>
    <cellStyle name="20% - Accent1 2 2 3" xfId="325" xr:uid="{FB385C68-79FD-486B-AC14-0C12CED697ED}"/>
    <cellStyle name="20% - Accent1 2 2 3 2" xfId="742" xr:uid="{F4F29A1A-C5B8-4FDE-8E7B-76199EEFDEDD}"/>
    <cellStyle name="20% - Accent1 2 2 4" xfId="534" xr:uid="{0A1D838B-F258-4DE7-A54D-4F100154B6FE}"/>
    <cellStyle name="20% - Accent1 2 3" xfId="168" xr:uid="{933C224C-50CA-4A42-A467-B0D705C33565}"/>
    <cellStyle name="20% - Accent1 2 3 2" xfId="377" xr:uid="{DD19C006-DC05-497D-8390-9C642B693AFE}"/>
    <cellStyle name="20% - Accent1 2 3 2 2" xfId="794" xr:uid="{36F56079-A7BE-4312-BC3D-D16BFD42BBB6}"/>
    <cellStyle name="20% - Accent1 2 3 3" xfId="586" xr:uid="{D6128072-7A3A-450F-BD4B-7488084E7785}"/>
    <cellStyle name="20% - Accent1 2 4" xfId="273" xr:uid="{1F206A0A-B401-469D-9529-8745233F4091}"/>
    <cellStyle name="20% - Accent1 2 4 2" xfId="690" xr:uid="{AA943160-B254-4DE4-8BC7-2577D7C07D23}"/>
    <cellStyle name="20% - Accent1 2 5" xfId="482" xr:uid="{2F91F283-CD6B-423F-9E66-6FDED5200CC6}"/>
    <cellStyle name="20% - Accent1 3" xfId="75" xr:uid="{DA412EC4-91C8-4029-877D-A8A8C2B5E2B6}"/>
    <cellStyle name="20% - Accent1 3 2" xfId="128" xr:uid="{509E8503-912E-412F-AB79-9430003C366F}"/>
    <cellStyle name="20% - Accent1 3 2 2" xfId="233" xr:uid="{45FBA1ED-E9FE-4078-8B9C-B282A0E5CD7A}"/>
    <cellStyle name="20% - Accent1 3 2 2 2" xfId="442" xr:uid="{E20FC237-9A05-4131-81BF-81CDAB5CBDFB}"/>
    <cellStyle name="20% - Accent1 3 2 2 2 2" xfId="859" xr:uid="{1BEB07A0-313F-4F79-BB7C-FD0D2EB30562}"/>
    <cellStyle name="20% - Accent1 3 2 2 3" xfId="651" xr:uid="{D331E7D4-11E8-4CDC-997E-1781E4BA6BAC}"/>
    <cellStyle name="20% - Accent1 3 2 3" xfId="338" xr:uid="{917819DE-6700-4C4E-AB3E-B87C09ADBE2C}"/>
    <cellStyle name="20% - Accent1 3 2 3 2" xfId="755" xr:uid="{42E0B521-FC02-4E10-BDE9-230EF4BF9DFD}"/>
    <cellStyle name="20% - Accent1 3 2 4" xfId="547" xr:uid="{11B75ECE-831A-4A2A-85DA-2ACC8CA160C1}"/>
    <cellStyle name="20% - Accent1 3 3" xfId="181" xr:uid="{5372AAE3-70F8-4EE6-89F8-2E8A16E4574D}"/>
    <cellStyle name="20% - Accent1 3 3 2" xfId="390" xr:uid="{50507DC7-790B-450C-9A83-72CA08F2FEAC}"/>
    <cellStyle name="20% - Accent1 3 3 2 2" xfId="807" xr:uid="{A01B4E53-BE81-4644-A697-5C6E1C28414A}"/>
    <cellStyle name="20% - Accent1 3 3 3" xfId="599" xr:uid="{4454F2C4-163C-4473-A82A-77EDCC54789F}"/>
    <cellStyle name="20% - Accent1 3 4" xfId="286" xr:uid="{0B44D477-3795-43A1-9DFD-92103905C9EC}"/>
    <cellStyle name="20% - Accent1 3 4 2" xfId="703" xr:uid="{F4D07BE2-C032-48CD-AE7A-B1289371EED9}"/>
    <cellStyle name="20% - Accent1 3 5" xfId="495" xr:uid="{D7D1C635-67CC-4F30-BB42-32D0DBC6D53A}"/>
    <cellStyle name="20% - Accent1 4" xfId="88" xr:uid="{1AC7AE4B-5D0C-45D5-9819-F64995B6CBCC}"/>
    <cellStyle name="20% - Accent1 4 2" xfId="194" xr:uid="{E8F9FC0D-9872-4C56-80B6-F3DC2AB4068B}"/>
    <cellStyle name="20% - Accent1 4 2 2" xfId="403" xr:uid="{A81D386F-E3D8-4002-B72B-4C71BA13B0DC}"/>
    <cellStyle name="20% - Accent1 4 2 2 2" xfId="820" xr:uid="{934F161C-1419-494A-BC21-DE0EF5FE3977}"/>
    <cellStyle name="20% - Accent1 4 2 3" xfId="612" xr:uid="{D8BEC016-7B3B-465A-9569-785CD20EAC20}"/>
    <cellStyle name="20% - Accent1 4 3" xfId="299" xr:uid="{70033B1F-46C3-4ECB-B132-4D7AC42B95C7}"/>
    <cellStyle name="20% - Accent1 4 3 2" xfId="716" xr:uid="{A23AB68C-B5A3-41AD-80B9-554DE3DD4C90}"/>
    <cellStyle name="20% - Accent1 4 4" xfId="508" xr:uid="{3469C02A-8F29-4377-B773-D23C85616B92}"/>
    <cellStyle name="20% - Accent1 5" xfId="101" xr:uid="{9E9F3CA9-1C80-4C6F-8272-C8E54280FA5C}"/>
    <cellStyle name="20% - Accent1 5 2" xfId="206" xr:uid="{1C878817-4311-4F67-B373-93591030E4D7}"/>
    <cellStyle name="20% - Accent1 5 2 2" xfId="415" xr:uid="{F34362BD-15AB-4F53-B439-7A1C87626E1F}"/>
    <cellStyle name="20% - Accent1 5 2 2 2" xfId="832" xr:uid="{124A98BD-46A8-476F-899E-57BF990109C7}"/>
    <cellStyle name="20% - Accent1 5 2 3" xfId="624" xr:uid="{2260EA28-C7B8-4535-9E30-1EA66F1EC1CF}"/>
    <cellStyle name="20% - Accent1 5 3" xfId="311" xr:uid="{B6DE695E-741B-429A-89DC-7C7DE7C11AC2}"/>
    <cellStyle name="20% - Accent1 5 3 2" xfId="728" xr:uid="{D1D683AC-C5B4-4BC3-AC33-C2A0C6D61359}"/>
    <cellStyle name="20% - Accent1 5 4" xfId="520" xr:uid="{50449DCE-4622-43DE-8956-F9504888A2ED}"/>
    <cellStyle name="20% - Accent1 6" xfId="141" xr:uid="{9D1799B1-79EC-4AA3-9ED5-886334ECC408}"/>
    <cellStyle name="20% - Accent1 6 2" xfId="351" xr:uid="{6CE4A414-4A4C-4C1D-9090-7753CC8DD41A}"/>
    <cellStyle name="20% - Accent1 6 2 2" xfId="768" xr:uid="{65317DAB-8D4A-4E72-A9AF-587057330C8F}"/>
    <cellStyle name="20% - Accent1 6 3" xfId="560" xr:uid="{1196C728-B8A1-4BB9-B0EA-66E2279E2B9D}"/>
    <cellStyle name="20% - Accent1 7" xfId="154" xr:uid="{558AEACE-B817-42CB-BACB-7E0BEDE5568D}"/>
    <cellStyle name="20% - Accent1 7 2" xfId="363" xr:uid="{3F370AAB-C453-4609-8C84-C06C2A4E0556}"/>
    <cellStyle name="20% - Accent1 7 2 2" xfId="780" xr:uid="{027D4D83-3438-4A27-814D-0936D224E0E7}"/>
    <cellStyle name="20% - Accent1 7 3" xfId="572" xr:uid="{740183A6-03E4-4AD6-B738-9730AABFC8FB}"/>
    <cellStyle name="20% - Accent1 8" xfId="246" xr:uid="{F0BB776C-B79A-4F51-95C4-A0AF3505B7C3}"/>
    <cellStyle name="20% - Accent1 8 2" xfId="664" xr:uid="{109CFE88-3D15-4EE4-A06A-A0F421E1A785}"/>
    <cellStyle name="20% - Accent1 9" xfId="259" xr:uid="{56EEAFC4-2092-4B71-93F6-05895CBC8EBD}"/>
    <cellStyle name="20% - Accent1 9 2" xfId="676" xr:uid="{9B6E2F58-2252-4B08-AF38-BBDD1A67A96E}"/>
    <cellStyle name="20% - Accent2" xfId="37" builtinId="34" customBuiltin="1"/>
    <cellStyle name="20% - Accent2 10" xfId="457" xr:uid="{B44F49FE-8902-482A-A09D-3A7BFDCBB222}"/>
    <cellStyle name="20% - Accent2 11" xfId="470" xr:uid="{56438E38-843C-4B6E-AE59-43B6C3AC6C74}"/>
    <cellStyle name="20% - Accent2 2" xfId="64" xr:uid="{C8814C41-7EA7-4ADD-8201-DC59EA085529}"/>
    <cellStyle name="20% - Accent2 2 2" xfId="117" xr:uid="{F50264C7-1FF1-4CFC-9B17-FB72690FDD48}"/>
    <cellStyle name="20% - Accent2 2 2 2" xfId="222" xr:uid="{D10E2971-592A-4266-AD11-EF5DFF726FB6}"/>
    <cellStyle name="20% - Accent2 2 2 2 2" xfId="431" xr:uid="{82C1469F-A0EF-40FD-94CB-AD193999FC99}"/>
    <cellStyle name="20% - Accent2 2 2 2 2 2" xfId="848" xr:uid="{72209967-F1D0-4B12-9033-F10E873B7325}"/>
    <cellStyle name="20% - Accent2 2 2 2 3" xfId="640" xr:uid="{AD7BCDC9-4C2A-4C06-AE86-B124BC9DB4C3}"/>
    <cellStyle name="20% - Accent2 2 2 3" xfId="327" xr:uid="{25D30F56-12EF-4D1C-B5AE-2B7F7D4C8E19}"/>
    <cellStyle name="20% - Accent2 2 2 3 2" xfId="744" xr:uid="{5AA34293-9994-40EB-B77F-707596B5E4F4}"/>
    <cellStyle name="20% - Accent2 2 2 4" xfId="536" xr:uid="{BC7D35EE-1D12-4D2F-8137-0690578FF973}"/>
    <cellStyle name="20% - Accent2 2 3" xfId="170" xr:uid="{404967C3-AB79-41D1-BA03-D3423CB5FB2E}"/>
    <cellStyle name="20% - Accent2 2 3 2" xfId="379" xr:uid="{549D66AE-F30E-4491-A229-BD34EEB53972}"/>
    <cellStyle name="20% - Accent2 2 3 2 2" xfId="796" xr:uid="{5EEEEB6A-25D1-49E1-A185-8C1AD0FEFB17}"/>
    <cellStyle name="20% - Accent2 2 3 3" xfId="588" xr:uid="{5A63C873-C4F1-48A1-BD84-CF01804F2DBE}"/>
    <cellStyle name="20% - Accent2 2 4" xfId="275" xr:uid="{4249704F-DECC-4E7D-8B93-790FB15297C7}"/>
    <cellStyle name="20% - Accent2 2 4 2" xfId="692" xr:uid="{B953941F-669F-4165-BDF5-30939B99B921}"/>
    <cellStyle name="20% - Accent2 2 5" xfId="484" xr:uid="{6A09B5C6-3DED-42E6-B17F-D72E36029D11}"/>
    <cellStyle name="20% - Accent2 3" xfId="77" xr:uid="{3AEE228F-00A5-4BBB-AAA6-5B52A55DF271}"/>
    <cellStyle name="20% - Accent2 3 2" xfId="130" xr:uid="{443A5056-984D-4C08-9B65-7EFB94A2BCB0}"/>
    <cellStyle name="20% - Accent2 3 2 2" xfId="235" xr:uid="{60A694F0-F1D4-40BA-ACC5-BBC6138B6B2A}"/>
    <cellStyle name="20% - Accent2 3 2 2 2" xfId="444" xr:uid="{ED2FAEB8-0605-4227-BE64-9FFB29942413}"/>
    <cellStyle name="20% - Accent2 3 2 2 2 2" xfId="861" xr:uid="{51675998-AB71-42F6-B09B-340D070C9EF2}"/>
    <cellStyle name="20% - Accent2 3 2 2 3" xfId="653" xr:uid="{959182A3-7FE1-4BA0-88E1-FB82857B07AB}"/>
    <cellStyle name="20% - Accent2 3 2 3" xfId="340" xr:uid="{757544E4-7CCB-4C19-801C-F744D8047EF6}"/>
    <cellStyle name="20% - Accent2 3 2 3 2" xfId="757" xr:uid="{7C061E95-7AEA-4884-A282-C68F0A06BAD8}"/>
    <cellStyle name="20% - Accent2 3 2 4" xfId="549" xr:uid="{BB17729D-3F02-493D-A4B3-67E1ADF7DAE9}"/>
    <cellStyle name="20% - Accent2 3 3" xfId="183" xr:uid="{96EFEDBA-5F05-4592-B5B7-FBBCF564F054}"/>
    <cellStyle name="20% - Accent2 3 3 2" xfId="392" xr:uid="{4FC20080-4ADC-4DAE-95AE-D13087B13E82}"/>
    <cellStyle name="20% - Accent2 3 3 2 2" xfId="809" xr:uid="{66D78FEF-1888-48F0-B492-E9405B3B7A78}"/>
    <cellStyle name="20% - Accent2 3 3 3" xfId="601" xr:uid="{51B21002-68F8-4A85-9DA0-810061696964}"/>
    <cellStyle name="20% - Accent2 3 4" xfId="288" xr:uid="{D79C8B5C-12EF-49B5-BF5E-D34C8C01478B}"/>
    <cellStyle name="20% - Accent2 3 4 2" xfId="705" xr:uid="{DD13D546-B96C-4E61-B055-9F4E609CB759}"/>
    <cellStyle name="20% - Accent2 3 5" xfId="497" xr:uid="{7D85CFE5-BABA-47F4-914A-2E8EF729BC1A}"/>
    <cellStyle name="20% - Accent2 4" xfId="90" xr:uid="{CF857E29-DB98-4E35-AC57-B1E7AB7B5972}"/>
    <cellStyle name="20% - Accent2 4 2" xfId="196" xr:uid="{33F65B4E-13FB-4CFA-ABA2-4D5329A8187B}"/>
    <cellStyle name="20% - Accent2 4 2 2" xfId="405" xr:uid="{F5ACC6FC-0A91-47AC-B606-641BBFCF613B}"/>
    <cellStyle name="20% - Accent2 4 2 2 2" xfId="822" xr:uid="{32B56735-EEB0-4499-A988-E337815D44B1}"/>
    <cellStyle name="20% - Accent2 4 2 3" xfId="614" xr:uid="{C1397EC4-6DAD-4604-ABB4-CDC97C4EC502}"/>
    <cellStyle name="20% - Accent2 4 3" xfId="301" xr:uid="{54629662-23B8-4C65-8D11-D58581A50745}"/>
    <cellStyle name="20% - Accent2 4 3 2" xfId="718" xr:uid="{1C3D9F2B-F44C-4757-B25C-21E3B9FA560D}"/>
    <cellStyle name="20% - Accent2 4 4" xfId="510" xr:uid="{C611059F-7925-4CFB-A6F2-19BD9DA1A592}"/>
    <cellStyle name="20% - Accent2 5" xfId="103" xr:uid="{34EEC268-541E-4B86-BEE7-3AE66BA85DAA}"/>
    <cellStyle name="20% - Accent2 5 2" xfId="208" xr:uid="{D363D630-EFD4-4086-A22F-4AB142C5BE21}"/>
    <cellStyle name="20% - Accent2 5 2 2" xfId="417" xr:uid="{DABBF1F9-4D84-42DD-AAE3-ECBD453CE9E1}"/>
    <cellStyle name="20% - Accent2 5 2 2 2" xfId="834" xr:uid="{ECD45036-2531-4609-BF31-22F49FEB7430}"/>
    <cellStyle name="20% - Accent2 5 2 3" xfId="626" xr:uid="{32BF4BE0-54C2-4060-BC29-21C2D18058A9}"/>
    <cellStyle name="20% - Accent2 5 3" xfId="313" xr:uid="{584CFB06-AF33-4ED9-9269-10797DFE1ED3}"/>
    <cellStyle name="20% - Accent2 5 3 2" xfId="730" xr:uid="{8EAD27E7-E905-47A9-9BA0-386544D9B865}"/>
    <cellStyle name="20% - Accent2 5 4" xfId="522" xr:uid="{16CFF727-5CB6-46FC-9DC6-C053D09560B3}"/>
    <cellStyle name="20% - Accent2 6" xfId="143" xr:uid="{A72B1EDF-82EA-4C5E-85B5-205BAD8D8590}"/>
    <cellStyle name="20% - Accent2 6 2" xfId="353" xr:uid="{4F22D6B5-B566-4573-9808-90F296FE27C8}"/>
    <cellStyle name="20% - Accent2 6 2 2" xfId="770" xr:uid="{D60E8CBB-474A-4F52-BFE0-712E3DD55E83}"/>
    <cellStyle name="20% - Accent2 6 3" xfId="562" xr:uid="{772F84AD-F0F1-4CCF-875B-FCD06201B5A1}"/>
    <cellStyle name="20% - Accent2 7" xfId="156" xr:uid="{5C5E2480-C3E1-43AA-9246-EC18EAC9BBB6}"/>
    <cellStyle name="20% - Accent2 7 2" xfId="365" xr:uid="{D338EAB6-30C8-471E-BDD9-0F6FA760880C}"/>
    <cellStyle name="20% - Accent2 7 2 2" xfId="782" xr:uid="{4DB8CFD4-9FA1-49BC-B6D3-E7DC6527EC2E}"/>
    <cellStyle name="20% - Accent2 7 3" xfId="574" xr:uid="{9B81F1DF-9461-4B54-AA8B-AAFCB6CF749E}"/>
    <cellStyle name="20% - Accent2 8" xfId="248" xr:uid="{6452A51F-BD41-4BD8-ACC1-70EA9A3C9670}"/>
    <cellStyle name="20% - Accent2 8 2" xfId="666" xr:uid="{08E0FC98-8CC4-4CB4-A38E-BC8274143B5F}"/>
    <cellStyle name="20% - Accent2 9" xfId="261" xr:uid="{649C811F-B140-4AE7-8810-F8AE976AEB77}"/>
    <cellStyle name="20% - Accent2 9 2" xfId="678" xr:uid="{6149DC55-19FA-46C5-93CA-3FD50297C1A3}"/>
    <cellStyle name="20% - Accent3" xfId="40" builtinId="38" customBuiltin="1"/>
    <cellStyle name="20% - Accent3 10" xfId="459" xr:uid="{BC82331C-4C7D-4609-94BC-7A8372A02B51}"/>
    <cellStyle name="20% - Accent3 11" xfId="472" xr:uid="{2CC3CAA2-4FE7-4B28-AB2E-28F817CFE9BA}"/>
    <cellStyle name="20% - Accent3 2" xfId="66" xr:uid="{C656ADC9-B0C1-4BB2-AA25-D9350B931A21}"/>
    <cellStyle name="20% - Accent3 2 2" xfId="119" xr:uid="{7E596F5B-DEFA-4A5F-A4C2-B39631BDE25F}"/>
    <cellStyle name="20% - Accent3 2 2 2" xfId="224" xr:uid="{9476D6B8-65DB-437C-B424-EEF641C56C04}"/>
    <cellStyle name="20% - Accent3 2 2 2 2" xfId="433" xr:uid="{0457AB00-EBB6-411F-923B-3B900730777E}"/>
    <cellStyle name="20% - Accent3 2 2 2 2 2" xfId="850" xr:uid="{50F06CFB-308D-4D03-955C-6F325AF3FDF5}"/>
    <cellStyle name="20% - Accent3 2 2 2 3" xfId="642" xr:uid="{CEDDEC2D-2CAB-49C0-813A-8063E8F8EA0F}"/>
    <cellStyle name="20% - Accent3 2 2 3" xfId="329" xr:uid="{2D20CFDF-EC41-4AB0-97EC-6C6AF7B50867}"/>
    <cellStyle name="20% - Accent3 2 2 3 2" xfId="746" xr:uid="{D4DE62E8-B528-4811-80C5-299C3D95ECB7}"/>
    <cellStyle name="20% - Accent3 2 2 4" xfId="538" xr:uid="{37D3D620-CF3D-4110-A136-3B41532D60D3}"/>
    <cellStyle name="20% - Accent3 2 3" xfId="172" xr:uid="{18AE1FC1-EF8C-40B5-B74E-2F929983C78B}"/>
    <cellStyle name="20% - Accent3 2 3 2" xfId="381" xr:uid="{B7FD6CB5-65E1-4852-B814-A89F68CF6B99}"/>
    <cellStyle name="20% - Accent3 2 3 2 2" xfId="798" xr:uid="{A61F5E36-C660-4392-B9F4-AECBA4A2603D}"/>
    <cellStyle name="20% - Accent3 2 3 3" xfId="590" xr:uid="{CD3CFCFC-85BF-4B1A-99FE-F322F791DA94}"/>
    <cellStyle name="20% - Accent3 2 4" xfId="277" xr:uid="{E707F7BA-3B6F-4CB6-9BC4-C55B12569957}"/>
    <cellStyle name="20% - Accent3 2 4 2" xfId="694" xr:uid="{32133DA6-A48A-4A72-B67A-728FF049D14C}"/>
    <cellStyle name="20% - Accent3 2 5" xfId="486" xr:uid="{971CA157-C14F-4D89-88A3-09D6A5F8F0C1}"/>
    <cellStyle name="20% - Accent3 3" xfId="79" xr:uid="{F2E37B06-0F45-4998-A784-7D00C866951E}"/>
    <cellStyle name="20% - Accent3 3 2" xfId="132" xr:uid="{48696A12-ED62-492E-BEC5-97E1018466A3}"/>
    <cellStyle name="20% - Accent3 3 2 2" xfId="237" xr:uid="{2F9E838A-E9BC-430B-B2F8-1D6588B7C882}"/>
    <cellStyle name="20% - Accent3 3 2 2 2" xfId="446" xr:uid="{0E19B3D5-0E02-428C-8827-4DE6556CCAA9}"/>
    <cellStyle name="20% - Accent3 3 2 2 2 2" xfId="863" xr:uid="{8B5A33C8-D851-436F-A0CC-EC9C40C1BE2A}"/>
    <cellStyle name="20% - Accent3 3 2 2 3" xfId="655" xr:uid="{65E2EA67-947B-4B0A-9EE0-C850E5764CC6}"/>
    <cellStyle name="20% - Accent3 3 2 3" xfId="342" xr:uid="{FA61DCB4-13F8-44E1-8F30-5FEBB9624511}"/>
    <cellStyle name="20% - Accent3 3 2 3 2" xfId="759" xr:uid="{5BA23F91-DF06-47B5-B4CB-735117E647D7}"/>
    <cellStyle name="20% - Accent3 3 2 4" xfId="551" xr:uid="{97E95BAE-2C5D-4054-9194-85D9217FC2DC}"/>
    <cellStyle name="20% - Accent3 3 3" xfId="185" xr:uid="{F39451BA-1429-446E-8001-9AB91125D693}"/>
    <cellStyle name="20% - Accent3 3 3 2" xfId="394" xr:uid="{93228E53-27AE-4102-A0E3-B8FD79348569}"/>
    <cellStyle name="20% - Accent3 3 3 2 2" xfId="811" xr:uid="{CB4908B5-5577-4E05-9EF0-E519D361F064}"/>
    <cellStyle name="20% - Accent3 3 3 3" xfId="603" xr:uid="{857A2287-B2A9-40B7-851D-67C2F5D81EAB}"/>
    <cellStyle name="20% - Accent3 3 4" xfId="290" xr:uid="{1235C16C-BB9D-4BDD-9336-7B6F4ADDC1FB}"/>
    <cellStyle name="20% - Accent3 3 4 2" xfId="707" xr:uid="{FD79621C-3C15-415D-AFD6-27A17AD9E75D}"/>
    <cellStyle name="20% - Accent3 3 5" xfId="499" xr:uid="{27F24B05-ABDF-41A9-84BA-E92B94D35BB9}"/>
    <cellStyle name="20% - Accent3 4" xfId="92" xr:uid="{C5506567-3C05-48D4-8B34-3359D4C555D9}"/>
    <cellStyle name="20% - Accent3 4 2" xfId="198" xr:uid="{F2E5426C-F46B-42A5-9F31-EFE1C7A5ABEB}"/>
    <cellStyle name="20% - Accent3 4 2 2" xfId="407" xr:uid="{75FC0049-4455-4BD1-B2E3-EB396DC469F7}"/>
    <cellStyle name="20% - Accent3 4 2 2 2" xfId="824" xr:uid="{72041D84-8965-4C89-9956-9CE553CAAF23}"/>
    <cellStyle name="20% - Accent3 4 2 3" xfId="616" xr:uid="{F6443F6A-1DE0-4216-8234-1403E6F0620E}"/>
    <cellStyle name="20% - Accent3 4 3" xfId="303" xr:uid="{5C94102D-B2FB-4786-BC3C-5D7DCFCFCC19}"/>
    <cellStyle name="20% - Accent3 4 3 2" xfId="720" xr:uid="{4EEFA409-8557-4F2E-96AD-D2EB5B0C92A7}"/>
    <cellStyle name="20% - Accent3 4 4" xfId="512" xr:uid="{396A20D7-A794-4EBD-AB19-92A68EEAF5D5}"/>
    <cellStyle name="20% - Accent3 5" xfId="105" xr:uid="{24B1A981-A9EF-4537-AA03-308DC113B4DE}"/>
    <cellStyle name="20% - Accent3 5 2" xfId="210" xr:uid="{EA378E6E-C2DD-4B0E-9150-4FB791B906F8}"/>
    <cellStyle name="20% - Accent3 5 2 2" xfId="419" xr:uid="{4FFD3CAC-6C1F-4BDE-9913-515856B5CB4E}"/>
    <cellStyle name="20% - Accent3 5 2 2 2" xfId="836" xr:uid="{2162A562-931E-4964-B963-D265FE0D98AC}"/>
    <cellStyle name="20% - Accent3 5 2 3" xfId="628" xr:uid="{5FB80CA2-D3AA-4B85-B95D-17B86554C01F}"/>
    <cellStyle name="20% - Accent3 5 3" xfId="315" xr:uid="{D32887C4-E127-4494-BD11-BC76CFF47404}"/>
    <cellStyle name="20% - Accent3 5 3 2" xfId="732" xr:uid="{82EC71AF-5EAF-4037-A39A-03584E4A7C84}"/>
    <cellStyle name="20% - Accent3 5 4" xfId="524" xr:uid="{5259D377-B3DE-4195-A58A-91DB24A47261}"/>
    <cellStyle name="20% - Accent3 6" xfId="145" xr:uid="{6389203B-88AE-43BF-9899-6551404ECC0C}"/>
    <cellStyle name="20% - Accent3 6 2" xfId="355" xr:uid="{48EEF514-642C-4584-8D1B-00C0F8F408AC}"/>
    <cellStyle name="20% - Accent3 6 2 2" xfId="772" xr:uid="{2A519381-4414-41AA-A813-D1F0215E9B69}"/>
    <cellStyle name="20% - Accent3 6 3" xfId="564" xr:uid="{7F9E71B6-33D6-4DA7-9848-7B2CD912AACE}"/>
    <cellStyle name="20% - Accent3 7" xfId="158" xr:uid="{101BA779-52E0-45E8-917E-DB1736BB04AC}"/>
    <cellStyle name="20% - Accent3 7 2" xfId="367" xr:uid="{FDD1306D-1025-4AA5-A146-6CC5EB9E2A23}"/>
    <cellStyle name="20% - Accent3 7 2 2" xfId="784" xr:uid="{7C69992F-A13A-45AE-B2D3-C3A211B93739}"/>
    <cellStyle name="20% - Accent3 7 3" xfId="576" xr:uid="{C238EF4D-7E05-4F27-9055-C5C739B1145A}"/>
    <cellStyle name="20% - Accent3 8" xfId="250" xr:uid="{F54615D3-4537-4DB1-91D8-3BBD18FFD8F0}"/>
    <cellStyle name="20% - Accent3 8 2" xfId="668" xr:uid="{380015B6-7814-444A-96BF-4691DFD5A544}"/>
    <cellStyle name="20% - Accent3 9" xfId="263" xr:uid="{20F3039D-73BC-4A02-967A-DDF9FEE87D7B}"/>
    <cellStyle name="20% - Accent3 9 2" xfId="680" xr:uid="{B046F2BB-2610-4187-81B1-3BB003E2AF26}"/>
    <cellStyle name="20% - Accent4" xfId="43" builtinId="42" customBuiltin="1"/>
    <cellStyle name="20% - Accent4 10" xfId="461" xr:uid="{0330B16F-54B8-41CD-8BBB-982D6A7852BB}"/>
    <cellStyle name="20% - Accent4 11" xfId="474" xr:uid="{217FFCD5-EDF7-4BFF-83EF-2FDD955067A9}"/>
    <cellStyle name="20% - Accent4 2" xfId="68" xr:uid="{EF688A2C-E00E-414A-9840-F77A44A282E1}"/>
    <cellStyle name="20% - Accent4 2 2" xfId="121" xr:uid="{F9DE5F91-B97F-48E4-9A81-7A1A5D2A3BF2}"/>
    <cellStyle name="20% - Accent4 2 2 2" xfId="226" xr:uid="{B735F1D3-56CA-42CB-AA59-1D5CA8F85C46}"/>
    <cellStyle name="20% - Accent4 2 2 2 2" xfId="435" xr:uid="{39291A8F-FA23-4A6D-AF8D-CE776EDD0B49}"/>
    <cellStyle name="20% - Accent4 2 2 2 2 2" xfId="852" xr:uid="{556626F1-6325-4173-B554-FD82792C8840}"/>
    <cellStyle name="20% - Accent4 2 2 2 3" xfId="644" xr:uid="{3496E244-1F59-4070-904C-AEB66BDC19BB}"/>
    <cellStyle name="20% - Accent4 2 2 3" xfId="331" xr:uid="{0A98D8E5-034A-4C44-8552-63959DC52057}"/>
    <cellStyle name="20% - Accent4 2 2 3 2" xfId="748" xr:uid="{7A5B7BF5-2A36-46E1-B0F3-9A3EDC16DC55}"/>
    <cellStyle name="20% - Accent4 2 2 4" xfId="540" xr:uid="{C1437A14-C688-470E-A074-C1C9CC63D26A}"/>
    <cellStyle name="20% - Accent4 2 3" xfId="174" xr:uid="{7360D2D0-30A3-4F51-8B61-E2EEDCC3AABC}"/>
    <cellStyle name="20% - Accent4 2 3 2" xfId="383" xr:uid="{147F1E5F-742E-423B-9977-6E3C079D3F70}"/>
    <cellStyle name="20% - Accent4 2 3 2 2" xfId="800" xr:uid="{7ED26254-31C8-40D3-BF81-4E2FF0D4ED73}"/>
    <cellStyle name="20% - Accent4 2 3 3" xfId="592" xr:uid="{5D7DDB45-7FB2-4CFF-85A5-7B06827F4F41}"/>
    <cellStyle name="20% - Accent4 2 4" xfId="279" xr:uid="{468F1DDE-4493-4B12-B632-B9D2CD1A8869}"/>
    <cellStyle name="20% - Accent4 2 4 2" xfId="696" xr:uid="{6AF291A6-6C41-4593-91AD-716FC889FBD1}"/>
    <cellStyle name="20% - Accent4 2 5" xfId="488" xr:uid="{AED8F6D6-DA70-4E4F-BAF4-F4FF89F62331}"/>
    <cellStyle name="20% - Accent4 3" xfId="81" xr:uid="{0E26E08E-9AB7-43A0-90B0-AB9751FA8CC3}"/>
    <cellStyle name="20% - Accent4 3 2" xfId="134" xr:uid="{91457114-ADDE-4742-A63A-D8F52EB2DB66}"/>
    <cellStyle name="20% - Accent4 3 2 2" xfId="239" xr:uid="{E81854E0-C687-40A6-AA38-ECC2C72570D0}"/>
    <cellStyle name="20% - Accent4 3 2 2 2" xfId="448" xr:uid="{808C8C55-9EAE-4D83-87A8-80F2853F93DD}"/>
    <cellStyle name="20% - Accent4 3 2 2 2 2" xfId="865" xr:uid="{3E3DEA98-6AEE-48ED-A741-02D7D9F68EF4}"/>
    <cellStyle name="20% - Accent4 3 2 2 3" xfId="657" xr:uid="{23FF748F-2D79-42B4-88F6-7C047D20DF80}"/>
    <cellStyle name="20% - Accent4 3 2 3" xfId="344" xr:uid="{60CD35D9-07E6-407D-91A3-0A03A4EEBE3E}"/>
    <cellStyle name="20% - Accent4 3 2 3 2" xfId="761" xr:uid="{0E3C8494-9B02-4B4F-84A6-E7C085363E64}"/>
    <cellStyle name="20% - Accent4 3 2 4" xfId="553" xr:uid="{247EEDA7-31A1-455A-8640-1F48B93685D9}"/>
    <cellStyle name="20% - Accent4 3 3" xfId="187" xr:uid="{21B124D2-5103-4B2A-B8BF-1CD354D1BF26}"/>
    <cellStyle name="20% - Accent4 3 3 2" xfId="396" xr:uid="{CCA64D33-C32F-4932-BD6C-8C538B02C570}"/>
    <cellStyle name="20% - Accent4 3 3 2 2" xfId="813" xr:uid="{CE67B083-83C9-4921-A06F-A7C047C8331A}"/>
    <cellStyle name="20% - Accent4 3 3 3" xfId="605" xr:uid="{E73B17D2-5C94-4AC9-81DD-16AF3005CC54}"/>
    <cellStyle name="20% - Accent4 3 4" xfId="292" xr:uid="{B7776046-B967-433D-8010-9D8DF318A4A0}"/>
    <cellStyle name="20% - Accent4 3 4 2" xfId="709" xr:uid="{77EA4A3B-3CFC-4BC7-87EE-161B5E1D7E15}"/>
    <cellStyle name="20% - Accent4 3 5" xfId="501" xr:uid="{0C557CB9-CE0E-428B-8DFB-CDABD712A0B0}"/>
    <cellStyle name="20% - Accent4 4" xfId="94" xr:uid="{D2649649-7521-4DF8-8D55-562A465321D6}"/>
    <cellStyle name="20% - Accent4 4 2" xfId="200" xr:uid="{02F241A6-FF59-473D-A3EA-DBB797932B72}"/>
    <cellStyle name="20% - Accent4 4 2 2" xfId="409" xr:uid="{BE92DC9B-2E09-4E7D-8052-3692FA125E02}"/>
    <cellStyle name="20% - Accent4 4 2 2 2" xfId="826" xr:uid="{A002060F-0CA1-4CC0-861D-2356C1F86EA2}"/>
    <cellStyle name="20% - Accent4 4 2 3" xfId="618" xr:uid="{DB602540-B98C-402F-9F5B-D3341C1EC756}"/>
    <cellStyle name="20% - Accent4 4 3" xfId="305" xr:uid="{E869B351-E24A-4668-932D-8645BE1ECD9F}"/>
    <cellStyle name="20% - Accent4 4 3 2" xfId="722" xr:uid="{0542B5A7-632C-4E38-AC6C-6D782CB5644D}"/>
    <cellStyle name="20% - Accent4 4 4" xfId="514" xr:uid="{21177BDB-7EF3-4515-A31D-83409E8AF6F2}"/>
    <cellStyle name="20% - Accent4 5" xfId="107" xr:uid="{83819943-5B15-4876-B495-18B3C2E60256}"/>
    <cellStyle name="20% - Accent4 5 2" xfId="212" xr:uid="{62831267-C679-41CA-9823-1CB05B8BF467}"/>
    <cellStyle name="20% - Accent4 5 2 2" xfId="421" xr:uid="{895513CB-947E-4DFF-87F6-B8F381B609F0}"/>
    <cellStyle name="20% - Accent4 5 2 2 2" xfId="838" xr:uid="{1DB0910B-2F0C-4E20-AFBD-07A3EF814921}"/>
    <cellStyle name="20% - Accent4 5 2 3" xfId="630" xr:uid="{35ABD74E-7CF6-49F2-934A-2394E4CE329F}"/>
    <cellStyle name="20% - Accent4 5 3" xfId="317" xr:uid="{0B6F2D97-C08A-47A6-B466-F14639538580}"/>
    <cellStyle name="20% - Accent4 5 3 2" xfId="734" xr:uid="{829C485D-4797-422F-9BAB-582D580D4119}"/>
    <cellStyle name="20% - Accent4 5 4" xfId="526" xr:uid="{1E755692-1F0A-4D9A-9F77-19D2C33C2795}"/>
    <cellStyle name="20% - Accent4 6" xfId="147" xr:uid="{C9488FF8-EB59-4558-B092-30ACE553CF6A}"/>
    <cellStyle name="20% - Accent4 6 2" xfId="357" xr:uid="{0E4F81C3-0E41-4F62-BB5E-DDCC909F9B15}"/>
    <cellStyle name="20% - Accent4 6 2 2" xfId="774" xr:uid="{AAECDA81-9832-4423-B756-7F6B3B97CE2D}"/>
    <cellStyle name="20% - Accent4 6 3" xfId="566" xr:uid="{00B7C226-B1D5-4A2A-BDBE-43F7B1A48077}"/>
    <cellStyle name="20% - Accent4 7" xfId="160" xr:uid="{70388CAA-00F4-493B-8384-DA111492BA84}"/>
    <cellStyle name="20% - Accent4 7 2" xfId="369" xr:uid="{460DD86C-C415-46B5-BA20-9B92AFEE9003}"/>
    <cellStyle name="20% - Accent4 7 2 2" xfId="786" xr:uid="{8517963E-5C22-4EF5-9978-5E292E71DC3F}"/>
    <cellStyle name="20% - Accent4 7 3" xfId="578" xr:uid="{09A25448-AB91-47E2-B390-5A9684C35879}"/>
    <cellStyle name="20% - Accent4 8" xfId="252" xr:uid="{8CCE5499-6B9B-4452-8FC3-72433131AD6A}"/>
    <cellStyle name="20% - Accent4 8 2" xfId="670" xr:uid="{5CC04876-32C4-4DFA-BAB1-8CBA19EDD4D8}"/>
    <cellStyle name="20% - Accent4 9" xfId="265" xr:uid="{788A9679-326C-4CBE-9466-34FEFCBFAE3B}"/>
    <cellStyle name="20% - Accent4 9 2" xfId="682" xr:uid="{EF4AA941-CA53-459C-B2C9-3B0DC4727994}"/>
    <cellStyle name="20% - Accent5" xfId="46" builtinId="46" customBuiltin="1"/>
    <cellStyle name="20% - Accent5 10" xfId="463" xr:uid="{506FC9C0-8598-43F5-B82A-FE495C0C2723}"/>
    <cellStyle name="20% - Accent5 11" xfId="476" xr:uid="{135A77ED-DC24-4896-99E0-0263EA41AC09}"/>
    <cellStyle name="20% - Accent5 2" xfId="70" xr:uid="{58FE8769-6CA3-48A0-8ECC-EEDB587528C1}"/>
    <cellStyle name="20% - Accent5 2 2" xfId="123" xr:uid="{2562A2FF-12FE-4908-9869-1402A58A2139}"/>
    <cellStyle name="20% - Accent5 2 2 2" xfId="228" xr:uid="{96826C3E-691E-4728-A2EC-4A8C62209E2D}"/>
    <cellStyle name="20% - Accent5 2 2 2 2" xfId="437" xr:uid="{5D103B19-2B2A-4DF6-9E61-1520385FC3F0}"/>
    <cellStyle name="20% - Accent5 2 2 2 2 2" xfId="854" xr:uid="{0968325D-A69A-455F-AC85-49708F2ED8BC}"/>
    <cellStyle name="20% - Accent5 2 2 2 3" xfId="646" xr:uid="{111EF600-ACFA-4409-B051-412524FA12C8}"/>
    <cellStyle name="20% - Accent5 2 2 3" xfId="333" xr:uid="{66544617-8D3A-42C1-8B13-480DBD9183A8}"/>
    <cellStyle name="20% - Accent5 2 2 3 2" xfId="750" xr:uid="{79201181-BE1F-46A4-80FE-142FBAA1E441}"/>
    <cellStyle name="20% - Accent5 2 2 4" xfId="542" xr:uid="{D40D2EA0-CE89-4463-B220-6638F02085AC}"/>
    <cellStyle name="20% - Accent5 2 3" xfId="176" xr:uid="{6AEECFBE-92F2-46DC-999A-B411C119C8FE}"/>
    <cellStyle name="20% - Accent5 2 3 2" xfId="385" xr:uid="{D3C643C0-82B4-4B1E-B0DB-C1F7AE428C6D}"/>
    <cellStyle name="20% - Accent5 2 3 2 2" xfId="802" xr:uid="{33B9E4B4-9B56-458C-9453-9864E64DB0EA}"/>
    <cellStyle name="20% - Accent5 2 3 3" xfId="594" xr:uid="{A9D8D44A-596E-4CC2-8006-8B2DFE2A3E83}"/>
    <cellStyle name="20% - Accent5 2 4" xfId="281" xr:uid="{1946E7F0-7A69-44A8-A49C-5F717657F500}"/>
    <cellStyle name="20% - Accent5 2 4 2" xfId="698" xr:uid="{4C732146-E691-4455-9F70-AA95F0DA604A}"/>
    <cellStyle name="20% - Accent5 2 5" xfId="490" xr:uid="{B6915F42-3546-4404-A1F1-172551419079}"/>
    <cellStyle name="20% - Accent5 3" xfId="83" xr:uid="{B43AE6FF-DD3A-4378-B859-3B6688F75DB0}"/>
    <cellStyle name="20% - Accent5 3 2" xfId="136" xr:uid="{50E42E06-692A-433E-93B8-302A51CEEBA8}"/>
    <cellStyle name="20% - Accent5 3 2 2" xfId="241" xr:uid="{6E5E8AD8-8BD5-42D1-AE47-1A129E5F36DD}"/>
    <cellStyle name="20% - Accent5 3 2 2 2" xfId="450" xr:uid="{837203A9-9B51-4AB3-A269-5BC97B62BED1}"/>
    <cellStyle name="20% - Accent5 3 2 2 2 2" xfId="867" xr:uid="{BA3B22A2-6A78-43B3-B1C3-83C28D022349}"/>
    <cellStyle name="20% - Accent5 3 2 2 3" xfId="659" xr:uid="{9695DE3C-3187-41D6-B5C1-5327D7A02512}"/>
    <cellStyle name="20% - Accent5 3 2 3" xfId="346" xr:uid="{74304785-EE6E-43D9-A6B6-464504D25506}"/>
    <cellStyle name="20% - Accent5 3 2 3 2" xfId="763" xr:uid="{21FA6D17-4D4A-42F7-9DE8-4A3D4A877AC6}"/>
    <cellStyle name="20% - Accent5 3 2 4" xfId="555" xr:uid="{F1E1D21A-DB6D-4ECF-889E-9BFF2949367D}"/>
    <cellStyle name="20% - Accent5 3 3" xfId="189" xr:uid="{11173B1F-E615-4801-A6C1-14B586D829C1}"/>
    <cellStyle name="20% - Accent5 3 3 2" xfId="398" xr:uid="{71D4DABC-4E75-450F-A654-555FB1B0D9AB}"/>
    <cellStyle name="20% - Accent5 3 3 2 2" xfId="815" xr:uid="{EF593419-1331-463E-A324-CDC587716616}"/>
    <cellStyle name="20% - Accent5 3 3 3" xfId="607" xr:uid="{D4E88962-6647-4871-895B-33F1854321AF}"/>
    <cellStyle name="20% - Accent5 3 4" xfId="294" xr:uid="{B5945586-17B8-46E5-90DB-AE14CA0D59E9}"/>
    <cellStyle name="20% - Accent5 3 4 2" xfId="711" xr:uid="{D4DB8FA6-1F49-433B-88E0-D639A919084F}"/>
    <cellStyle name="20% - Accent5 3 5" xfId="503" xr:uid="{314AE36A-B31B-43C1-B946-7A87B2FF0C19}"/>
    <cellStyle name="20% - Accent5 4" xfId="96" xr:uid="{C87BCCB1-DE85-48F8-B36E-835BBE9FD7E9}"/>
    <cellStyle name="20% - Accent5 4 2" xfId="202" xr:uid="{F4DB9B56-78A5-4E89-8632-92CD7A7679FD}"/>
    <cellStyle name="20% - Accent5 4 2 2" xfId="411" xr:uid="{E8F1CF6D-B9C0-4036-A3C2-8421433F9CDE}"/>
    <cellStyle name="20% - Accent5 4 2 2 2" xfId="828" xr:uid="{5715BCDE-9CA8-41AE-B9E4-CF4C94BC073A}"/>
    <cellStyle name="20% - Accent5 4 2 3" xfId="620" xr:uid="{2E152744-2AAF-41CC-9957-16541ED7E2AC}"/>
    <cellStyle name="20% - Accent5 4 3" xfId="307" xr:uid="{CA53AC98-D310-41CC-8AF4-FE383D04FFBF}"/>
    <cellStyle name="20% - Accent5 4 3 2" xfId="724" xr:uid="{31C2CA3B-7727-4CC3-8E7F-9B0C56653040}"/>
    <cellStyle name="20% - Accent5 4 4" xfId="516" xr:uid="{90F1FA54-43ED-4FD9-ADFD-3387E21539C1}"/>
    <cellStyle name="20% - Accent5 5" xfId="109" xr:uid="{B9436CA1-6798-4D46-BA5C-75D3AD10ABFB}"/>
    <cellStyle name="20% - Accent5 5 2" xfId="214" xr:uid="{88BFA75F-88C1-4115-9089-411A6B3D298E}"/>
    <cellStyle name="20% - Accent5 5 2 2" xfId="423" xr:uid="{4AF69DC5-87B4-4E9F-A476-6DFCB6DC75F6}"/>
    <cellStyle name="20% - Accent5 5 2 2 2" xfId="840" xr:uid="{6F013ED4-8DA0-4598-A013-33E53931A0A0}"/>
    <cellStyle name="20% - Accent5 5 2 3" xfId="632" xr:uid="{F52FCA32-493B-4853-98E7-16A886ED1D86}"/>
    <cellStyle name="20% - Accent5 5 3" xfId="319" xr:uid="{BFA6D6E3-A990-4617-B766-BC2E9B882531}"/>
    <cellStyle name="20% - Accent5 5 3 2" xfId="736" xr:uid="{0D548140-E86A-42FB-A53C-F10C1E82AD21}"/>
    <cellStyle name="20% - Accent5 5 4" xfId="528" xr:uid="{53887E59-6FC4-48E3-8DC0-6794D0D35605}"/>
    <cellStyle name="20% - Accent5 6" xfId="149" xr:uid="{5FBE6A28-FCBD-41C3-80F5-F024C1783458}"/>
    <cellStyle name="20% - Accent5 6 2" xfId="359" xr:uid="{BE039FB1-77DA-47C2-9A27-A5B3606E15EF}"/>
    <cellStyle name="20% - Accent5 6 2 2" xfId="776" xr:uid="{2DDE7E36-F5E9-45DC-A0B4-11E464B240B1}"/>
    <cellStyle name="20% - Accent5 6 3" xfId="568" xr:uid="{3F8E5CAC-D05D-44B0-9E70-75B770D26CD8}"/>
    <cellStyle name="20% - Accent5 7" xfId="162" xr:uid="{220A9919-B633-4DA1-B398-DC75350770EA}"/>
    <cellStyle name="20% - Accent5 7 2" xfId="371" xr:uid="{1D032D02-4AFE-498B-AAA5-738F0A09AECB}"/>
    <cellStyle name="20% - Accent5 7 2 2" xfId="788" xr:uid="{D0A5C80A-6F42-4BCB-A36D-B0024B282D0A}"/>
    <cellStyle name="20% - Accent5 7 3" xfId="580" xr:uid="{1FC86718-5613-4592-B34D-B7D371EE57C5}"/>
    <cellStyle name="20% - Accent5 8" xfId="254" xr:uid="{BE678DAE-D790-46D1-BEFA-822A13E96C21}"/>
    <cellStyle name="20% - Accent5 8 2" xfId="672" xr:uid="{6AE48A58-C95E-4777-9DC2-8D213D0A2074}"/>
    <cellStyle name="20% - Accent5 9" xfId="267" xr:uid="{B8DBCBE0-2B11-43BE-83F3-A63CB64562CF}"/>
    <cellStyle name="20% - Accent5 9 2" xfId="684" xr:uid="{85935F5E-2A0C-4762-AD1A-9770ABE74A12}"/>
    <cellStyle name="20% - Accent6" xfId="49" builtinId="50" customBuiltin="1"/>
    <cellStyle name="20% - Accent6 10" xfId="465" xr:uid="{7433D8E2-8CD7-45CD-8A1D-49CB4421B85B}"/>
    <cellStyle name="20% - Accent6 11" xfId="478" xr:uid="{1A65A6FD-96BD-4601-BD6D-6752BF5888BC}"/>
    <cellStyle name="20% - Accent6 2" xfId="72" xr:uid="{2B88E1F7-DADA-4880-B813-CC83944DEA08}"/>
    <cellStyle name="20% - Accent6 2 2" xfId="125" xr:uid="{85A30C26-F73C-4ABA-A8C1-AF17E8571C87}"/>
    <cellStyle name="20% - Accent6 2 2 2" xfId="230" xr:uid="{99617303-CD8C-446C-A282-5D6EF1BBBC6A}"/>
    <cellStyle name="20% - Accent6 2 2 2 2" xfId="439" xr:uid="{601959A9-5C67-4921-9034-D42ED39FF7E8}"/>
    <cellStyle name="20% - Accent6 2 2 2 2 2" xfId="856" xr:uid="{6C8E4148-4DFC-4DC0-A219-3C6B76E299D9}"/>
    <cellStyle name="20% - Accent6 2 2 2 3" xfId="648" xr:uid="{88E5FB24-FDF3-48A9-967C-0B98F17A178A}"/>
    <cellStyle name="20% - Accent6 2 2 3" xfId="335" xr:uid="{027EF130-3919-4244-809A-22B59437179D}"/>
    <cellStyle name="20% - Accent6 2 2 3 2" xfId="752" xr:uid="{87E41E04-179E-4C3D-B0D4-3EF55CAC871D}"/>
    <cellStyle name="20% - Accent6 2 2 4" xfId="544" xr:uid="{6688FC20-3F53-40FC-9774-A217CECBAFEC}"/>
    <cellStyle name="20% - Accent6 2 3" xfId="178" xr:uid="{9D2F410A-E9A0-45D0-870E-348E7B32A1E9}"/>
    <cellStyle name="20% - Accent6 2 3 2" xfId="387" xr:uid="{A2866082-4855-4D62-8C87-9235CB2FFC7C}"/>
    <cellStyle name="20% - Accent6 2 3 2 2" xfId="804" xr:uid="{1F2362C2-EB33-487A-8857-532F1F3554B7}"/>
    <cellStyle name="20% - Accent6 2 3 3" xfId="596" xr:uid="{3A4BB54D-254F-42A3-9949-ED89AC31E311}"/>
    <cellStyle name="20% - Accent6 2 4" xfId="283" xr:uid="{2E6657E5-A8C5-4845-9561-D6469D3824DA}"/>
    <cellStyle name="20% - Accent6 2 4 2" xfId="700" xr:uid="{1E72FE22-42DC-46D7-935D-AEC1295AD298}"/>
    <cellStyle name="20% - Accent6 2 5" xfId="492" xr:uid="{04316B74-A66D-4067-8CE6-94491990FB37}"/>
    <cellStyle name="20% - Accent6 3" xfId="85" xr:uid="{1743A7D2-F768-449C-8CF7-ABC2CEA49575}"/>
    <cellStyle name="20% - Accent6 3 2" xfId="138" xr:uid="{5D4AF27D-D9AD-4E21-9E1E-210480150B93}"/>
    <cellStyle name="20% - Accent6 3 2 2" xfId="243" xr:uid="{8CA62672-0718-48C2-BC81-9D6D0864B180}"/>
    <cellStyle name="20% - Accent6 3 2 2 2" xfId="452" xr:uid="{4A6D707D-A819-47E1-AD5E-C02773E3B67C}"/>
    <cellStyle name="20% - Accent6 3 2 2 2 2" xfId="869" xr:uid="{F67F8D3B-3319-4865-BAF8-DAF7B1415437}"/>
    <cellStyle name="20% - Accent6 3 2 2 3" xfId="661" xr:uid="{3A6D514F-6E40-4610-B7AB-1AFE40D1A6C4}"/>
    <cellStyle name="20% - Accent6 3 2 3" xfId="348" xr:uid="{F67F947E-3DA6-4D06-9D18-75A86AB4CFF1}"/>
    <cellStyle name="20% - Accent6 3 2 3 2" xfId="765" xr:uid="{89A04DE5-57F8-4BC7-85FC-98806207601C}"/>
    <cellStyle name="20% - Accent6 3 2 4" xfId="557" xr:uid="{A0E3DCD3-9639-4695-8EFD-825040D6E266}"/>
    <cellStyle name="20% - Accent6 3 3" xfId="191" xr:uid="{356E8F2D-29A8-4D24-B96B-D688F60D18C2}"/>
    <cellStyle name="20% - Accent6 3 3 2" xfId="400" xr:uid="{271CA440-3056-4052-B7C4-13478C616803}"/>
    <cellStyle name="20% - Accent6 3 3 2 2" xfId="817" xr:uid="{5D712721-C0EC-4673-83F8-6F7803D6305B}"/>
    <cellStyle name="20% - Accent6 3 3 3" xfId="609" xr:uid="{F82FF828-C4E7-4D50-838B-9E089B755C38}"/>
    <cellStyle name="20% - Accent6 3 4" xfId="296" xr:uid="{FCCE7B17-D496-448E-B263-52D18A4EC19E}"/>
    <cellStyle name="20% - Accent6 3 4 2" xfId="713" xr:uid="{09EA31DF-8F94-445A-9D5B-B41673ADDE90}"/>
    <cellStyle name="20% - Accent6 3 5" xfId="505" xr:uid="{DCE5E633-0877-469E-BD9E-00CCD68E063C}"/>
    <cellStyle name="20% - Accent6 4" xfId="98" xr:uid="{F803A738-552F-4269-849C-4A7321F1CAAC}"/>
    <cellStyle name="20% - Accent6 4 2" xfId="204" xr:uid="{A2D701BA-4CF1-4444-AE16-3E9BC49FDDBC}"/>
    <cellStyle name="20% - Accent6 4 2 2" xfId="413" xr:uid="{0BB67DA3-F115-40A3-9091-20B517C81F50}"/>
    <cellStyle name="20% - Accent6 4 2 2 2" xfId="830" xr:uid="{283F00B8-1E17-4163-A417-6BD2E22B6A9C}"/>
    <cellStyle name="20% - Accent6 4 2 3" xfId="622" xr:uid="{DEFF5FD2-40CA-4AA2-8887-30FFD27E7D88}"/>
    <cellStyle name="20% - Accent6 4 3" xfId="309" xr:uid="{4EDD0FD9-94DE-4216-BFDC-8CC89572B3B6}"/>
    <cellStyle name="20% - Accent6 4 3 2" xfId="726" xr:uid="{E4D95E0F-1995-4DED-9325-E3385D2F59B5}"/>
    <cellStyle name="20% - Accent6 4 4" xfId="518" xr:uid="{EC8FE750-9C3E-4815-BB5C-3C6D278D05A5}"/>
    <cellStyle name="20% - Accent6 5" xfId="111" xr:uid="{06CA5921-13B7-44C7-978B-ADD061077E5D}"/>
    <cellStyle name="20% - Accent6 5 2" xfId="216" xr:uid="{5745F607-5B39-4162-BB46-EF1D48E2F150}"/>
    <cellStyle name="20% - Accent6 5 2 2" xfId="425" xr:uid="{D846B507-5E33-46F3-93B1-6C0F4E9BC227}"/>
    <cellStyle name="20% - Accent6 5 2 2 2" xfId="842" xr:uid="{786B0866-573F-4ADC-A45C-3CFE7E68BBF0}"/>
    <cellStyle name="20% - Accent6 5 2 3" xfId="634" xr:uid="{53C4E49A-5853-4ECB-8A04-76068BF521BB}"/>
    <cellStyle name="20% - Accent6 5 3" xfId="321" xr:uid="{129EF111-EA2D-4D6B-AC9F-B446EBF83B76}"/>
    <cellStyle name="20% - Accent6 5 3 2" xfId="738" xr:uid="{347C6B28-9D56-479D-B3EF-76741EF58FBC}"/>
    <cellStyle name="20% - Accent6 5 4" xfId="530" xr:uid="{BA1E5594-31E8-481C-BF96-44CBDE424106}"/>
    <cellStyle name="20% - Accent6 6" xfId="151" xr:uid="{BA477A7A-527E-4031-9710-4C50A023ECF7}"/>
    <cellStyle name="20% - Accent6 6 2" xfId="361" xr:uid="{24614483-923A-4D48-8279-2734DD4416D8}"/>
    <cellStyle name="20% - Accent6 6 2 2" xfId="778" xr:uid="{D2C1984A-6BF2-476E-B905-8AFDC6E8D14D}"/>
    <cellStyle name="20% - Accent6 6 3" xfId="570" xr:uid="{165C8006-A090-4712-85E6-D9BBB1A676F8}"/>
    <cellStyle name="20% - Accent6 7" xfId="164" xr:uid="{BAD74451-1CE6-4C8F-A694-DC5C7ACA78C3}"/>
    <cellStyle name="20% - Accent6 7 2" xfId="373" xr:uid="{CFA841EB-B485-464B-9255-D05A4C93D5F0}"/>
    <cellStyle name="20% - Accent6 7 2 2" xfId="790" xr:uid="{F2453B4E-782F-47BD-ADAD-0015FF8829A4}"/>
    <cellStyle name="20% - Accent6 7 3" xfId="582" xr:uid="{AF8E6721-5E16-40E9-BBAB-DC5D9800BC4F}"/>
    <cellStyle name="20% - Accent6 8" xfId="256" xr:uid="{A24F7BBD-5FC0-4948-8CBB-B4D5B9726D98}"/>
    <cellStyle name="20% - Accent6 8 2" xfId="674" xr:uid="{7BB926C1-6671-4E9C-BCED-0BD92D8CD79D}"/>
    <cellStyle name="20% - Accent6 9" xfId="269" xr:uid="{F269437A-AA2C-4553-8A55-D1FC355CA787}"/>
    <cellStyle name="20% - Accent6 9 2" xfId="686" xr:uid="{A1E64A70-782F-4F5B-B1E8-606F9E7F36CD}"/>
    <cellStyle name="40% - Accent1" xfId="35" builtinId="31" customBuiltin="1"/>
    <cellStyle name="40% - Accent1 10" xfId="456" xr:uid="{879944BA-2AF2-4776-ACF0-BDCCACE50932}"/>
    <cellStyle name="40% - Accent1 11" xfId="469" xr:uid="{F2B58171-802A-4BC0-91C4-1EFCF6777C0E}"/>
    <cellStyle name="40% - Accent1 2" xfId="63" xr:uid="{9533FC52-4F5F-44E8-B7CB-4AF3B984F682}"/>
    <cellStyle name="40% - Accent1 2 2" xfId="116" xr:uid="{4E3B6E8C-9A2E-42B3-8FFA-F898FBCBFBD3}"/>
    <cellStyle name="40% - Accent1 2 2 2" xfId="221" xr:uid="{4019C688-3B83-4FF5-9EB3-B330690B9EB9}"/>
    <cellStyle name="40% - Accent1 2 2 2 2" xfId="430" xr:uid="{BE4C732F-1047-4758-88E5-E5D8CD9D6D3E}"/>
    <cellStyle name="40% - Accent1 2 2 2 2 2" xfId="847" xr:uid="{DA5BFBDA-336C-4BCA-AF60-00B1698996DB}"/>
    <cellStyle name="40% - Accent1 2 2 2 3" xfId="639" xr:uid="{B9AD92EA-0A6F-454B-9B33-81062DA22C4A}"/>
    <cellStyle name="40% - Accent1 2 2 3" xfId="326" xr:uid="{9CE353A1-D2D1-46A9-BC32-E114653DBF57}"/>
    <cellStyle name="40% - Accent1 2 2 3 2" xfId="743" xr:uid="{7AD10381-E982-4C99-B1B8-AC2D8A552F94}"/>
    <cellStyle name="40% - Accent1 2 2 4" xfId="535" xr:uid="{665EBF65-9AA9-417F-B55E-39AD820D320F}"/>
    <cellStyle name="40% - Accent1 2 3" xfId="169" xr:uid="{A5D50CC9-23EB-4E5C-B565-46CA4D42D299}"/>
    <cellStyle name="40% - Accent1 2 3 2" xfId="378" xr:uid="{EA4B0D1B-7C66-4C5B-9C85-3216FCAE8E49}"/>
    <cellStyle name="40% - Accent1 2 3 2 2" xfId="795" xr:uid="{4F602768-30D8-4D1B-AB66-BF2CAE4A0878}"/>
    <cellStyle name="40% - Accent1 2 3 3" xfId="587" xr:uid="{8D65983F-4893-47E1-82FE-692B51CB910D}"/>
    <cellStyle name="40% - Accent1 2 4" xfId="274" xr:uid="{665707DF-345F-4220-BAB0-367EF63FAECE}"/>
    <cellStyle name="40% - Accent1 2 4 2" xfId="691" xr:uid="{82E66043-379C-4168-BAE6-CD3E6C949702}"/>
    <cellStyle name="40% - Accent1 2 5" xfId="483" xr:uid="{CA166470-11DB-4203-9F14-ED1EB0CF7DC0}"/>
    <cellStyle name="40% - Accent1 3" xfId="76" xr:uid="{9B3C6790-97B5-42E2-B924-D56DE88188D8}"/>
    <cellStyle name="40% - Accent1 3 2" xfId="129" xr:uid="{FF2CA1F5-2384-4ACC-9958-4E910A14BB37}"/>
    <cellStyle name="40% - Accent1 3 2 2" xfId="234" xr:uid="{F96800EA-C828-4EBB-AD3A-82375D0D6CEB}"/>
    <cellStyle name="40% - Accent1 3 2 2 2" xfId="443" xr:uid="{E771229A-5029-4F74-AFB4-18D5F0E659F4}"/>
    <cellStyle name="40% - Accent1 3 2 2 2 2" xfId="860" xr:uid="{0AB01102-148B-494F-869C-E389FBC7EBA9}"/>
    <cellStyle name="40% - Accent1 3 2 2 3" xfId="652" xr:uid="{47A7AF26-6263-426D-A2AF-EEE518CFBE61}"/>
    <cellStyle name="40% - Accent1 3 2 3" xfId="339" xr:uid="{4C74C45E-9958-47EB-8929-14044AC4D6E7}"/>
    <cellStyle name="40% - Accent1 3 2 3 2" xfId="756" xr:uid="{F17A7E04-8805-4EB4-BBF8-98B59154D510}"/>
    <cellStyle name="40% - Accent1 3 2 4" xfId="548" xr:uid="{12B4A863-0EAA-44B1-B183-04F43037C650}"/>
    <cellStyle name="40% - Accent1 3 3" xfId="182" xr:uid="{C2FFE288-FE1E-4483-9473-0C54AEBBD4C6}"/>
    <cellStyle name="40% - Accent1 3 3 2" xfId="391" xr:uid="{E517CA01-322B-47A7-8B33-775DAC950450}"/>
    <cellStyle name="40% - Accent1 3 3 2 2" xfId="808" xr:uid="{8A48E0B0-71E0-4ADC-B2BA-956300BDF338}"/>
    <cellStyle name="40% - Accent1 3 3 3" xfId="600" xr:uid="{DB02B52C-A1AF-420C-BD45-ED6F24543F5E}"/>
    <cellStyle name="40% - Accent1 3 4" xfId="287" xr:uid="{4E05B25B-2B15-40C9-B1CD-EB36C40A4D1F}"/>
    <cellStyle name="40% - Accent1 3 4 2" xfId="704" xr:uid="{91E6A0FC-4F73-4BC5-8DDD-00A2F4716624}"/>
    <cellStyle name="40% - Accent1 3 5" xfId="496" xr:uid="{98F16898-3F93-4A48-B5E4-79404DEFA6A9}"/>
    <cellStyle name="40% - Accent1 4" xfId="89" xr:uid="{9DAEEBBD-A3FC-4FEA-88EA-EE9BE0B6B06E}"/>
    <cellStyle name="40% - Accent1 4 2" xfId="195" xr:uid="{8B6596B4-DF6A-4B4C-A7B4-B8E227CB0711}"/>
    <cellStyle name="40% - Accent1 4 2 2" xfId="404" xr:uid="{9FEEC95E-3254-4B63-A4E6-B7D60BD18571}"/>
    <cellStyle name="40% - Accent1 4 2 2 2" xfId="821" xr:uid="{5E339AD5-61E4-47BE-BC33-3AB44B984369}"/>
    <cellStyle name="40% - Accent1 4 2 3" xfId="613" xr:uid="{FC7D3076-7A40-4FDB-A670-0B211FA313A6}"/>
    <cellStyle name="40% - Accent1 4 3" xfId="300" xr:uid="{55D26749-33FF-499A-8089-B21E445ECF34}"/>
    <cellStyle name="40% - Accent1 4 3 2" xfId="717" xr:uid="{7B21F161-0D4E-49A3-801E-0AB23A2F4FAF}"/>
    <cellStyle name="40% - Accent1 4 4" xfId="509" xr:uid="{93DA82E7-5097-43F5-9978-36E7B38F60DC}"/>
    <cellStyle name="40% - Accent1 5" xfId="102" xr:uid="{396D1175-CFA0-4446-B666-BAD3870EF422}"/>
    <cellStyle name="40% - Accent1 5 2" xfId="207" xr:uid="{E6766002-D2D2-4A61-AC00-68DF01B97A88}"/>
    <cellStyle name="40% - Accent1 5 2 2" xfId="416" xr:uid="{DCFDD0EC-4E79-4279-B00A-4D18B9ED81B2}"/>
    <cellStyle name="40% - Accent1 5 2 2 2" xfId="833" xr:uid="{DDFB2373-E643-4295-9558-6F5144DA301C}"/>
    <cellStyle name="40% - Accent1 5 2 3" xfId="625" xr:uid="{A6FD4EF1-7CD9-4F8D-9BAE-B7753B5A628A}"/>
    <cellStyle name="40% - Accent1 5 3" xfId="312" xr:uid="{7FEAEFA7-12D9-4091-BE56-F03926003180}"/>
    <cellStyle name="40% - Accent1 5 3 2" xfId="729" xr:uid="{D26955A2-402D-4930-BA88-4EAD6A687063}"/>
    <cellStyle name="40% - Accent1 5 4" xfId="521" xr:uid="{4B9A815B-CB83-461A-AE3B-671CF9CB46C7}"/>
    <cellStyle name="40% - Accent1 6" xfId="142" xr:uid="{1B2ECAAC-FF42-44D3-8CEF-47D4CA3D64D1}"/>
    <cellStyle name="40% - Accent1 6 2" xfId="352" xr:uid="{4738255E-2073-4453-B3C8-4D71F0853E09}"/>
    <cellStyle name="40% - Accent1 6 2 2" xfId="769" xr:uid="{AACC98A8-4E2E-4BDA-89AF-D2191900609B}"/>
    <cellStyle name="40% - Accent1 6 3" xfId="561" xr:uid="{C357C0E1-5B90-45C7-B96B-2FA4A94FB2B5}"/>
    <cellStyle name="40% - Accent1 7" xfId="155" xr:uid="{903D479D-0E72-4F27-B00F-173DA8F0CCF2}"/>
    <cellStyle name="40% - Accent1 7 2" xfId="364" xr:uid="{46077E67-CDDC-4F3E-9200-61155D98D325}"/>
    <cellStyle name="40% - Accent1 7 2 2" xfId="781" xr:uid="{2D93743F-A241-4F47-83F8-86FA246DB032}"/>
    <cellStyle name="40% - Accent1 7 3" xfId="573" xr:uid="{F216555E-5D88-41FA-9A5C-D8B3A8E10A5B}"/>
    <cellStyle name="40% - Accent1 8" xfId="247" xr:uid="{D93D2EF2-7753-4932-B025-A7E8BFDCC34F}"/>
    <cellStyle name="40% - Accent1 8 2" xfId="665" xr:uid="{BC2DD40E-674D-49E4-B08C-8B49990E80EB}"/>
    <cellStyle name="40% - Accent1 9" xfId="260" xr:uid="{82C6BA28-393E-44EE-A529-6366F204FDA5}"/>
    <cellStyle name="40% - Accent1 9 2" xfId="677" xr:uid="{3F1B96C5-B54F-4921-BE61-4A99E49A3E84}"/>
    <cellStyle name="40% - Accent2" xfId="38" builtinId="35" customBuiltin="1"/>
    <cellStyle name="40% - Accent2 10" xfId="458" xr:uid="{23E81C16-7C69-4033-A5AE-4C123848C04D}"/>
    <cellStyle name="40% - Accent2 11" xfId="471" xr:uid="{252A10E3-A70E-4495-9C74-002CFA00FEBB}"/>
    <cellStyle name="40% - Accent2 2" xfId="65" xr:uid="{AB4ECA9C-2D20-4073-ADDA-98669EF2483A}"/>
    <cellStyle name="40% - Accent2 2 2" xfId="118" xr:uid="{1E7C5FF6-9E88-4736-8D87-2980F5C5C7E1}"/>
    <cellStyle name="40% - Accent2 2 2 2" xfId="223" xr:uid="{ACA69F2C-12D8-4793-B3FF-94B67387AB15}"/>
    <cellStyle name="40% - Accent2 2 2 2 2" xfId="432" xr:uid="{931F6C2B-DE75-4F0A-8820-F9A1FC982566}"/>
    <cellStyle name="40% - Accent2 2 2 2 2 2" xfId="849" xr:uid="{FA14E1B1-FCFC-47A1-A3AC-3224A3D97F39}"/>
    <cellStyle name="40% - Accent2 2 2 2 3" xfId="641" xr:uid="{FCA2ACB5-74C7-4CDC-8AAF-C929FE240013}"/>
    <cellStyle name="40% - Accent2 2 2 3" xfId="328" xr:uid="{FE94532B-1EBA-433B-A3F5-A7762AEBC599}"/>
    <cellStyle name="40% - Accent2 2 2 3 2" xfId="745" xr:uid="{25D70F9E-5161-417D-9415-B1666062316C}"/>
    <cellStyle name="40% - Accent2 2 2 4" xfId="537" xr:uid="{840459C4-24D8-4E0E-8FA1-A1A4131212CB}"/>
    <cellStyle name="40% - Accent2 2 3" xfId="171" xr:uid="{5923519F-725F-4984-9643-982BD8E024CC}"/>
    <cellStyle name="40% - Accent2 2 3 2" xfId="380" xr:uid="{290E7EC8-B54F-4472-AB7D-AA6E79C7F7AD}"/>
    <cellStyle name="40% - Accent2 2 3 2 2" xfId="797" xr:uid="{F319D8E7-DCA7-4792-9A00-7C62CC78D9F4}"/>
    <cellStyle name="40% - Accent2 2 3 3" xfId="589" xr:uid="{388BA158-EBAE-4D71-952E-56E788A8F71E}"/>
    <cellStyle name="40% - Accent2 2 4" xfId="276" xr:uid="{89CFADB4-25B2-4040-AD39-667915E68802}"/>
    <cellStyle name="40% - Accent2 2 4 2" xfId="693" xr:uid="{45DC211E-CD1B-4D99-9707-F33AD2E0F77E}"/>
    <cellStyle name="40% - Accent2 2 5" xfId="485" xr:uid="{4D7C9269-C78A-457A-B70F-DFBB1D4344B9}"/>
    <cellStyle name="40% - Accent2 3" xfId="78" xr:uid="{ECF1C499-53B4-4584-AE6B-88343B806C11}"/>
    <cellStyle name="40% - Accent2 3 2" xfId="131" xr:uid="{DFF506B6-FAA8-4FFE-88E1-524D52995393}"/>
    <cellStyle name="40% - Accent2 3 2 2" xfId="236" xr:uid="{35CA4C85-7597-4BE0-BCCB-12D0741CDDC3}"/>
    <cellStyle name="40% - Accent2 3 2 2 2" xfId="445" xr:uid="{9EC5D075-A77A-454E-B750-8EE75678DA06}"/>
    <cellStyle name="40% - Accent2 3 2 2 2 2" xfId="862" xr:uid="{4FF1DF25-CEB6-4FE8-86DA-5DE22F3F8A2B}"/>
    <cellStyle name="40% - Accent2 3 2 2 3" xfId="654" xr:uid="{DA0B4411-57EE-4A7A-87DB-7CE834C7D19D}"/>
    <cellStyle name="40% - Accent2 3 2 3" xfId="341" xr:uid="{AF85C5C8-6A61-4FC8-B0F6-59D0BCD56731}"/>
    <cellStyle name="40% - Accent2 3 2 3 2" xfId="758" xr:uid="{5E735580-34D9-4B43-A4D3-B1D26BE1AD49}"/>
    <cellStyle name="40% - Accent2 3 2 4" xfId="550" xr:uid="{4D04579B-98BE-41B7-88E2-B12EF4043DEA}"/>
    <cellStyle name="40% - Accent2 3 3" xfId="184" xr:uid="{C397ABA1-8B50-40B3-9868-ACFB1E49618F}"/>
    <cellStyle name="40% - Accent2 3 3 2" xfId="393" xr:uid="{E259EF5F-C9B2-4A14-9761-94D81C4FE56D}"/>
    <cellStyle name="40% - Accent2 3 3 2 2" xfId="810" xr:uid="{723441F8-9464-4646-AEEF-D1A0E374AF42}"/>
    <cellStyle name="40% - Accent2 3 3 3" xfId="602" xr:uid="{8251F4A9-1823-488C-BF77-B19286D9867D}"/>
    <cellStyle name="40% - Accent2 3 4" xfId="289" xr:uid="{D4D63B81-8A9B-4457-844E-23699CF76E9B}"/>
    <cellStyle name="40% - Accent2 3 4 2" xfId="706" xr:uid="{427EA15A-43C6-456D-A6D2-411E5907C2BB}"/>
    <cellStyle name="40% - Accent2 3 5" xfId="498" xr:uid="{FE90B32D-013E-475B-83BA-FFC6145C7C21}"/>
    <cellStyle name="40% - Accent2 4" xfId="91" xr:uid="{B73AE9A8-507D-474F-9FA6-5842A461720D}"/>
    <cellStyle name="40% - Accent2 4 2" xfId="197" xr:uid="{FB509FCE-4136-4BBA-ACC2-A07DE6FE8F17}"/>
    <cellStyle name="40% - Accent2 4 2 2" xfId="406" xr:uid="{E9040DFB-2C48-4C9B-A674-983E864EE36E}"/>
    <cellStyle name="40% - Accent2 4 2 2 2" xfId="823" xr:uid="{DAF13487-354F-4EFD-985B-A1C059E9FAE0}"/>
    <cellStyle name="40% - Accent2 4 2 3" xfId="615" xr:uid="{DEE51ECC-9275-4988-B648-DCBEBEE0374D}"/>
    <cellStyle name="40% - Accent2 4 3" xfId="302" xr:uid="{299F4743-3D96-460F-9A42-A22A6821CD8A}"/>
    <cellStyle name="40% - Accent2 4 3 2" xfId="719" xr:uid="{EC50E2E7-D3EB-4053-AF3D-C3AD0AC122B7}"/>
    <cellStyle name="40% - Accent2 4 4" xfId="511" xr:uid="{76DA4F87-A31A-43FA-B38A-16AB3FE957D7}"/>
    <cellStyle name="40% - Accent2 5" xfId="104" xr:uid="{B9A87B54-DE6C-475D-8B74-C1CD23CF3992}"/>
    <cellStyle name="40% - Accent2 5 2" xfId="209" xr:uid="{C45DCBA8-0120-48EA-8601-315D3D478CB8}"/>
    <cellStyle name="40% - Accent2 5 2 2" xfId="418" xr:uid="{6E598148-78D1-44CB-902E-B76369EF85DB}"/>
    <cellStyle name="40% - Accent2 5 2 2 2" xfId="835" xr:uid="{C12E5A29-F40E-4BCB-8727-8099C6AC9703}"/>
    <cellStyle name="40% - Accent2 5 2 3" xfId="627" xr:uid="{34E85659-954B-43EE-AEB9-755CDD516181}"/>
    <cellStyle name="40% - Accent2 5 3" xfId="314" xr:uid="{8E04019F-EB1B-47B5-9084-AC6D6E9EBF70}"/>
    <cellStyle name="40% - Accent2 5 3 2" xfId="731" xr:uid="{38C09D86-D69E-4914-BAFD-55EA385482AC}"/>
    <cellStyle name="40% - Accent2 5 4" xfId="523" xr:uid="{BD369CA7-9246-4D3B-8777-25316B35C542}"/>
    <cellStyle name="40% - Accent2 6" xfId="144" xr:uid="{3087AC7B-6A66-41F1-A7BA-D5C6E13C7B86}"/>
    <cellStyle name="40% - Accent2 6 2" xfId="354" xr:uid="{DD198364-D3D6-45CA-88B7-9B1015AFE53C}"/>
    <cellStyle name="40% - Accent2 6 2 2" xfId="771" xr:uid="{78E3A8DF-0071-48F1-8D5B-3C13B34AE6E3}"/>
    <cellStyle name="40% - Accent2 6 3" xfId="563" xr:uid="{0347D2A7-AB59-467A-9027-219000D358D9}"/>
    <cellStyle name="40% - Accent2 7" xfId="157" xr:uid="{EE9951FE-242C-454C-870D-8EFC5023CAE9}"/>
    <cellStyle name="40% - Accent2 7 2" xfId="366" xr:uid="{60FDBBB4-A791-4DF8-BE2B-7D39D4366539}"/>
    <cellStyle name="40% - Accent2 7 2 2" xfId="783" xr:uid="{C4A76EF9-A92C-4E32-A149-A09BD8FFF073}"/>
    <cellStyle name="40% - Accent2 7 3" xfId="575" xr:uid="{75FF22F8-438D-43FA-8A81-179B5A4793A0}"/>
    <cellStyle name="40% - Accent2 8" xfId="249" xr:uid="{A8CE232F-457D-4872-B361-50A2F25B7349}"/>
    <cellStyle name="40% - Accent2 8 2" xfId="667" xr:uid="{BCA96B53-C474-4A50-BED9-22742E7B1302}"/>
    <cellStyle name="40% - Accent2 9" xfId="262" xr:uid="{A190E966-7718-4D60-BBE3-1308FC67E60C}"/>
    <cellStyle name="40% - Accent2 9 2" xfId="679" xr:uid="{7D5B8D53-42AF-43DC-B037-0A87CD844947}"/>
    <cellStyle name="40% - Accent3" xfId="41" builtinId="39" customBuiltin="1"/>
    <cellStyle name="40% - Accent3 10" xfId="460" xr:uid="{CA65DA1A-6AC8-45D1-B852-33AAC97CF84F}"/>
    <cellStyle name="40% - Accent3 11" xfId="473" xr:uid="{049B579D-DA6D-49F0-935E-0F384E6917A7}"/>
    <cellStyle name="40% - Accent3 2" xfId="67" xr:uid="{022429C7-8F74-43CF-976E-CA851761EB59}"/>
    <cellStyle name="40% - Accent3 2 2" xfId="120" xr:uid="{9C092C75-C4F5-4A4E-A61B-6C83CD016923}"/>
    <cellStyle name="40% - Accent3 2 2 2" xfId="225" xr:uid="{B66695A4-AE93-4C09-A67A-A19D39D7FF4A}"/>
    <cellStyle name="40% - Accent3 2 2 2 2" xfId="434" xr:uid="{01ABFC34-7705-4BF0-BD5C-FAF0FCC65FCA}"/>
    <cellStyle name="40% - Accent3 2 2 2 2 2" xfId="851" xr:uid="{DB04BA3F-0745-4BA8-899B-48B3372EDF59}"/>
    <cellStyle name="40% - Accent3 2 2 2 3" xfId="643" xr:uid="{2932886E-A32B-45D5-8D4A-C185B76D2588}"/>
    <cellStyle name="40% - Accent3 2 2 3" xfId="330" xr:uid="{F3E720DE-AED4-4D73-BE10-159E46ECCBDD}"/>
    <cellStyle name="40% - Accent3 2 2 3 2" xfId="747" xr:uid="{16F812C0-9432-410E-8540-4D88D31C24AF}"/>
    <cellStyle name="40% - Accent3 2 2 4" xfId="539" xr:uid="{9EA79EEE-7011-458B-B25F-61EFE3D277C6}"/>
    <cellStyle name="40% - Accent3 2 3" xfId="173" xr:uid="{A02B7061-9BAE-4598-9245-4D91CCA1BCD4}"/>
    <cellStyle name="40% - Accent3 2 3 2" xfId="382" xr:uid="{A236B5DF-04D8-4CD2-8805-871F898F17C6}"/>
    <cellStyle name="40% - Accent3 2 3 2 2" xfId="799" xr:uid="{B2929977-353C-4B0A-AE41-AD00BEBCD4E9}"/>
    <cellStyle name="40% - Accent3 2 3 3" xfId="591" xr:uid="{D7A490AC-B628-4B7D-8083-E3C258AC43E8}"/>
    <cellStyle name="40% - Accent3 2 4" xfId="278" xr:uid="{E83ACBBB-CBDB-469D-8D2E-FDF75BC4755B}"/>
    <cellStyle name="40% - Accent3 2 4 2" xfId="695" xr:uid="{F478AC40-BCA5-462E-9384-B9C0A3628B1B}"/>
    <cellStyle name="40% - Accent3 2 5" xfId="487" xr:uid="{6F567022-0A9A-4070-8D58-9910E505AFB0}"/>
    <cellStyle name="40% - Accent3 3" xfId="80" xr:uid="{080AB364-B096-4538-9667-4C76A7760177}"/>
    <cellStyle name="40% - Accent3 3 2" xfId="133" xr:uid="{D1525473-29B2-45A3-885A-1612C15AA0AA}"/>
    <cellStyle name="40% - Accent3 3 2 2" xfId="238" xr:uid="{F04B52DA-1E3C-4189-9972-AD902951D43E}"/>
    <cellStyle name="40% - Accent3 3 2 2 2" xfId="447" xr:uid="{40FE1BED-03F0-45C1-B1C1-87F04C11AA7B}"/>
    <cellStyle name="40% - Accent3 3 2 2 2 2" xfId="864" xr:uid="{E9461F35-44A0-4A15-9209-CD20E3D9206A}"/>
    <cellStyle name="40% - Accent3 3 2 2 3" xfId="656" xr:uid="{81636021-9DEB-48F0-8649-B2A9F50B74DA}"/>
    <cellStyle name="40% - Accent3 3 2 3" xfId="343" xr:uid="{B334A809-3D80-4650-958F-76222E2FDD3F}"/>
    <cellStyle name="40% - Accent3 3 2 3 2" xfId="760" xr:uid="{59A6C13F-8639-42A7-8727-BC04F885A2C2}"/>
    <cellStyle name="40% - Accent3 3 2 4" xfId="552" xr:uid="{463703D6-9E7E-475E-B448-93419E91A7E4}"/>
    <cellStyle name="40% - Accent3 3 3" xfId="186" xr:uid="{583B4A61-7472-4E1B-AB93-6EECE14BE8C4}"/>
    <cellStyle name="40% - Accent3 3 3 2" xfId="395" xr:uid="{3A3910BF-4A8B-4AD7-A8ED-26D9C2DFB6B1}"/>
    <cellStyle name="40% - Accent3 3 3 2 2" xfId="812" xr:uid="{F01EE0CF-2C2F-4F53-9495-0FFDB5EC233E}"/>
    <cellStyle name="40% - Accent3 3 3 3" xfId="604" xr:uid="{707A87A0-B918-4FB9-99F9-9DB8A1FED081}"/>
    <cellStyle name="40% - Accent3 3 4" xfId="291" xr:uid="{E4F4EC24-97BE-420F-B78C-65BC50EAE2C3}"/>
    <cellStyle name="40% - Accent3 3 4 2" xfId="708" xr:uid="{9CA1D7AB-0C9E-46B7-A46A-F3A5902D4065}"/>
    <cellStyle name="40% - Accent3 3 5" xfId="500" xr:uid="{796B218D-1A6D-4E07-8A95-0D753B90F3DE}"/>
    <cellStyle name="40% - Accent3 4" xfId="93" xr:uid="{F9818C9A-AFE4-415C-A75A-21190D4E375B}"/>
    <cellStyle name="40% - Accent3 4 2" xfId="199" xr:uid="{B2308050-FE2E-4F15-85BF-9BFAA48344D0}"/>
    <cellStyle name="40% - Accent3 4 2 2" xfId="408" xr:uid="{6BF82D88-59D2-4887-9B4F-9116F7359DA0}"/>
    <cellStyle name="40% - Accent3 4 2 2 2" xfId="825" xr:uid="{2A27D323-CA18-4728-AC44-5421F991BC16}"/>
    <cellStyle name="40% - Accent3 4 2 3" xfId="617" xr:uid="{1A50B009-DB2E-4E80-A190-B274FBA84E0D}"/>
    <cellStyle name="40% - Accent3 4 3" xfId="304" xr:uid="{95B1152A-F4F6-447E-8B08-F0F37998F7A3}"/>
    <cellStyle name="40% - Accent3 4 3 2" xfId="721" xr:uid="{69D33B2E-3A7B-4783-9725-244AD38A03A6}"/>
    <cellStyle name="40% - Accent3 4 4" xfId="513" xr:uid="{3023DB61-6A63-4A66-9E49-B04694247D02}"/>
    <cellStyle name="40% - Accent3 5" xfId="106" xr:uid="{C2AA85F8-C3E3-4702-9788-E21FED058889}"/>
    <cellStyle name="40% - Accent3 5 2" xfId="211" xr:uid="{EF4BBD45-2839-47FB-9F03-991353F79C31}"/>
    <cellStyle name="40% - Accent3 5 2 2" xfId="420" xr:uid="{9E881148-95A5-43D3-95CF-3F9B7FEDE106}"/>
    <cellStyle name="40% - Accent3 5 2 2 2" xfId="837" xr:uid="{EF126570-2D5B-435A-8A91-64456C0F0A66}"/>
    <cellStyle name="40% - Accent3 5 2 3" xfId="629" xr:uid="{C11D57E5-A701-4336-8449-7C9BA967C71F}"/>
    <cellStyle name="40% - Accent3 5 3" xfId="316" xr:uid="{94963A15-C8E0-4599-B58C-D091964CF028}"/>
    <cellStyle name="40% - Accent3 5 3 2" xfId="733" xr:uid="{8060540C-AADC-46E0-BFE8-FB10C2B030A3}"/>
    <cellStyle name="40% - Accent3 5 4" xfId="525" xr:uid="{9F28B853-7B2A-4E69-AF8E-27CA8C595D9A}"/>
    <cellStyle name="40% - Accent3 6" xfId="146" xr:uid="{B27C6843-82CA-4527-8CFB-76E7C097CBF9}"/>
    <cellStyle name="40% - Accent3 6 2" xfId="356" xr:uid="{4BAB1AA9-4C28-477C-A987-6152429F8083}"/>
    <cellStyle name="40% - Accent3 6 2 2" xfId="773" xr:uid="{0FFE3949-5600-4098-B50F-2FA21988CBE7}"/>
    <cellStyle name="40% - Accent3 6 3" xfId="565" xr:uid="{682C8498-26D1-49DA-A662-9AD417A29EB4}"/>
    <cellStyle name="40% - Accent3 7" xfId="159" xr:uid="{6C5E0A45-67B0-4520-A7D5-616D0159E92D}"/>
    <cellStyle name="40% - Accent3 7 2" xfId="368" xr:uid="{7A08B779-B1E5-4D9F-92D6-4B7FC4BBF55B}"/>
    <cellStyle name="40% - Accent3 7 2 2" xfId="785" xr:uid="{23E13E56-F213-4840-A9BD-CED7EFBC5113}"/>
    <cellStyle name="40% - Accent3 7 3" xfId="577" xr:uid="{F887F892-1100-4898-9A4F-88114DA61875}"/>
    <cellStyle name="40% - Accent3 8" xfId="251" xr:uid="{07AE07DD-FA8D-4C77-A560-A61D45BBA2E6}"/>
    <cellStyle name="40% - Accent3 8 2" xfId="669" xr:uid="{C5DF7B8E-8F93-4159-889C-77F07E2DD7EB}"/>
    <cellStyle name="40% - Accent3 9" xfId="264" xr:uid="{54CABD0F-63D1-4EF5-A018-5A4074C2B318}"/>
    <cellStyle name="40% - Accent3 9 2" xfId="681" xr:uid="{D330033B-956A-498E-B977-BBE1DC0CC786}"/>
    <cellStyle name="40% - Accent4" xfId="44" builtinId="43" customBuiltin="1"/>
    <cellStyle name="40% - Accent4 10" xfId="462" xr:uid="{48CC6015-7FCC-46E4-A1EB-54AD6E3AEED0}"/>
    <cellStyle name="40% - Accent4 11" xfId="475" xr:uid="{7B29128A-FAF9-46AA-8F01-09731D66C5B9}"/>
    <cellStyle name="40% - Accent4 2" xfId="69" xr:uid="{F6615B1C-78B0-48E4-B11F-3D3AB41C454F}"/>
    <cellStyle name="40% - Accent4 2 2" xfId="122" xr:uid="{B2E65C11-FE4E-4C57-870E-38BA1C91B089}"/>
    <cellStyle name="40% - Accent4 2 2 2" xfId="227" xr:uid="{2953777F-7D67-421E-8CFA-E79659B2E5A3}"/>
    <cellStyle name="40% - Accent4 2 2 2 2" xfId="436" xr:uid="{B944090F-7F55-45B1-9523-37231A1BC46E}"/>
    <cellStyle name="40% - Accent4 2 2 2 2 2" xfId="853" xr:uid="{351F48E2-65DD-44EA-88C4-54D1B9888DFB}"/>
    <cellStyle name="40% - Accent4 2 2 2 3" xfId="645" xr:uid="{D65C4627-E105-4143-9408-7A1CEB8018F7}"/>
    <cellStyle name="40% - Accent4 2 2 3" xfId="332" xr:uid="{2BC4AAD5-801A-4015-ADB6-BE834617438D}"/>
    <cellStyle name="40% - Accent4 2 2 3 2" xfId="749" xr:uid="{868732FF-AEB4-4E79-BBF5-B362D68BA43D}"/>
    <cellStyle name="40% - Accent4 2 2 4" xfId="541" xr:uid="{A6BD63B0-2BFB-49DC-A9BA-E18D1E711CB3}"/>
    <cellStyle name="40% - Accent4 2 3" xfId="175" xr:uid="{3CBE4843-9C60-4C85-9474-8351A7547873}"/>
    <cellStyle name="40% - Accent4 2 3 2" xfId="384" xr:uid="{1345A3A7-1DF8-4470-A6A2-0DD905B89183}"/>
    <cellStyle name="40% - Accent4 2 3 2 2" xfId="801" xr:uid="{D444E0E1-4EAE-4ED2-BF1F-E076D8C23B0D}"/>
    <cellStyle name="40% - Accent4 2 3 3" xfId="593" xr:uid="{7034C1C7-A6B7-4EB3-9A6B-1EA08DFAFFE2}"/>
    <cellStyle name="40% - Accent4 2 4" xfId="280" xr:uid="{221AB838-93E6-4571-8638-C8468AAD42D5}"/>
    <cellStyle name="40% - Accent4 2 4 2" xfId="697" xr:uid="{CDBE7FE8-283E-4E63-83B9-65EFE8A43B16}"/>
    <cellStyle name="40% - Accent4 2 5" xfId="489" xr:uid="{76C67E4E-2383-46FC-93BD-A580EE881AEE}"/>
    <cellStyle name="40% - Accent4 3" xfId="82" xr:uid="{2BED9A12-8C81-4E73-AC2A-B1110219E4B3}"/>
    <cellStyle name="40% - Accent4 3 2" xfId="135" xr:uid="{DCA0A328-CE20-4941-950F-B6A59878DCF5}"/>
    <cellStyle name="40% - Accent4 3 2 2" xfId="240" xr:uid="{53594946-D0C4-4AB5-ABED-65DC043D31DF}"/>
    <cellStyle name="40% - Accent4 3 2 2 2" xfId="449" xr:uid="{509FD4B7-D3B0-4C53-B744-5BA1DB3EF7BE}"/>
    <cellStyle name="40% - Accent4 3 2 2 2 2" xfId="866" xr:uid="{2BE6CD47-A16A-4A21-BF60-3655C474A12F}"/>
    <cellStyle name="40% - Accent4 3 2 2 3" xfId="658" xr:uid="{2B63F3B0-F346-43FB-A97D-D0E61F0B8769}"/>
    <cellStyle name="40% - Accent4 3 2 3" xfId="345" xr:uid="{8D84AB5B-3759-4C0A-B593-C100DD931DC5}"/>
    <cellStyle name="40% - Accent4 3 2 3 2" xfId="762" xr:uid="{5BCF4AF6-1E86-466C-8C87-9A873CAACD71}"/>
    <cellStyle name="40% - Accent4 3 2 4" xfId="554" xr:uid="{A6EC060B-46DB-492B-A7E8-A06F5AEAFFF2}"/>
    <cellStyle name="40% - Accent4 3 3" xfId="188" xr:uid="{9C1E5651-2D79-40A4-8DF3-5CECD765CD98}"/>
    <cellStyle name="40% - Accent4 3 3 2" xfId="397" xr:uid="{2DF510CB-F108-49C4-97E1-30AB6BEBFF70}"/>
    <cellStyle name="40% - Accent4 3 3 2 2" xfId="814" xr:uid="{4A9428C0-B092-4EED-85B9-707F158DDAAF}"/>
    <cellStyle name="40% - Accent4 3 3 3" xfId="606" xr:uid="{7A38ED36-7B03-4DE8-A6A2-A2377CC76800}"/>
    <cellStyle name="40% - Accent4 3 4" xfId="293" xr:uid="{7D3CFCBE-6638-4CDE-B03A-3F52563DD6EC}"/>
    <cellStyle name="40% - Accent4 3 4 2" xfId="710" xr:uid="{041D52C7-558D-439B-AC44-FF229C776C2F}"/>
    <cellStyle name="40% - Accent4 3 5" xfId="502" xr:uid="{CA1D8E54-6A0A-41A7-AF2B-5C90D2B8AEB0}"/>
    <cellStyle name="40% - Accent4 4" xfId="95" xr:uid="{B67A6C45-F21B-4A5D-9F12-5BF86B5EF63A}"/>
    <cellStyle name="40% - Accent4 4 2" xfId="201" xr:uid="{5B5E2597-E6AF-4EB7-8533-3212081F64FD}"/>
    <cellStyle name="40% - Accent4 4 2 2" xfId="410" xr:uid="{F36B0410-1F05-4786-8AE9-A4FBE593A4D7}"/>
    <cellStyle name="40% - Accent4 4 2 2 2" xfId="827" xr:uid="{F0F9F604-2AD7-41B0-B232-69495A0E4CD8}"/>
    <cellStyle name="40% - Accent4 4 2 3" xfId="619" xr:uid="{CC7AB5D1-1ED9-44AA-BC33-6FCB7FDB3DC6}"/>
    <cellStyle name="40% - Accent4 4 3" xfId="306" xr:uid="{208CA7A2-D594-4F0F-8E3A-2E01F4B6ADC9}"/>
    <cellStyle name="40% - Accent4 4 3 2" xfId="723" xr:uid="{ACB90403-9C79-4F6E-922E-F565955A3B74}"/>
    <cellStyle name="40% - Accent4 4 4" xfId="515" xr:uid="{61562816-2130-43FE-A43F-D9C5DC8A56B7}"/>
    <cellStyle name="40% - Accent4 5" xfId="108" xr:uid="{D6AA2406-3BF7-43F3-A671-80C9E6F858A1}"/>
    <cellStyle name="40% - Accent4 5 2" xfId="213" xr:uid="{BDDC643E-6294-4DCA-8A78-83A8B30E517F}"/>
    <cellStyle name="40% - Accent4 5 2 2" xfId="422" xr:uid="{26CEECAC-F7E5-4E30-A5D7-82A3C488768C}"/>
    <cellStyle name="40% - Accent4 5 2 2 2" xfId="839" xr:uid="{854548F2-B944-48C2-B611-5C82B5C29706}"/>
    <cellStyle name="40% - Accent4 5 2 3" xfId="631" xr:uid="{FECAF70E-85DB-4CCA-B42F-8476AED6ECBD}"/>
    <cellStyle name="40% - Accent4 5 3" xfId="318" xr:uid="{25FEBFE3-488D-4AD3-84FC-9B6C047B9D44}"/>
    <cellStyle name="40% - Accent4 5 3 2" xfId="735" xr:uid="{512C8A5E-2850-42EC-83FC-287C29FD591B}"/>
    <cellStyle name="40% - Accent4 5 4" xfId="527" xr:uid="{46D87D84-AE0A-4B60-A011-A08D499BBD0E}"/>
    <cellStyle name="40% - Accent4 6" xfId="148" xr:uid="{1DFEE2F6-3132-4323-A285-EAC112D6CE68}"/>
    <cellStyle name="40% - Accent4 6 2" xfId="358" xr:uid="{8FC15E76-5901-413B-AA9C-12FB3ECBE0F6}"/>
    <cellStyle name="40% - Accent4 6 2 2" xfId="775" xr:uid="{9141034B-9684-4124-B7C6-67BAB4F48F2A}"/>
    <cellStyle name="40% - Accent4 6 3" xfId="567" xr:uid="{DE3DAFBC-E29A-4862-8A12-A71D40641B4E}"/>
    <cellStyle name="40% - Accent4 7" xfId="161" xr:uid="{D1E8A5F0-8718-452C-9157-0419601C1172}"/>
    <cellStyle name="40% - Accent4 7 2" xfId="370" xr:uid="{9C692F91-3E03-4DE4-AAC3-EF2599406908}"/>
    <cellStyle name="40% - Accent4 7 2 2" xfId="787" xr:uid="{42FEE003-5BB4-4E26-964B-5DF7DB10E98F}"/>
    <cellStyle name="40% - Accent4 7 3" xfId="579" xr:uid="{44EBE7AC-4352-4454-9703-FD787E9D2858}"/>
    <cellStyle name="40% - Accent4 8" xfId="253" xr:uid="{8F9264C2-2367-48D1-8B75-CA32922C51F0}"/>
    <cellStyle name="40% - Accent4 8 2" xfId="671" xr:uid="{9800A765-8AA0-4E3E-A0B0-528432310E5B}"/>
    <cellStyle name="40% - Accent4 9" xfId="266" xr:uid="{79A393E3-76F5-4328-9D7D-3C2C68706819}"/>
    <cellStyle name="40% - Accent4 9 2" xfId="683" xr:uid="{D4419B2E-24B6-4000-8408-41A5DD9D797C}"/>
    <cellStyle name="40% - Accent5" xfId="47" builtinId="47" customBuiltin="1"/>
    <cellStyle name="40% - Accent5 10" xfId="464" xr:uid="{532EDDEE-85D9-473A-8DA9-131B279E6B73}"/>
    <cellStyle name="40% - Accent5 11" xfId="477" xr:uid="{73579A2A-77BE-4226-8228-13554505BD0A}"/>
    <cellStyle name="40% - Accent5 2" xfId="71" xr:uid="{FF673374-23B0-490B-83D0-C7397117AB39}"/>
    <cellStyle name="40% - Accent5 2 2" xfId="124" xr:uid="{1F1E9B51-8B39-4B04-8A72-3B5345B9C7DC}"/>
    <cellStyle name="40% - Accent5 2 2 2" xfId="229" xr:uid="{F7160C4A-6B14-4C18-B060-FED43E999022}"/>
    <cellStyle name="40% - Accent5 2 2 2 2" xfId="438" xr:uid="{C0B69AD5-7991-4D0F-81FD-BBA224B12764}"/>
    <cellStyle name="40% - Accent5 2 2 2 2 2" xfId="855" xr:uid="{A21CF73E-16B0-4F8E-B5B1-02032AD4E490}"/>
    <cellStyle name="40% - Accent5 2 2 2 3" xfId="647" xr:uid="{08F00B6F-3EE8-48C1-9B5F-688ADBB277C3}"/>
    <cellStyle name="40% - Accent5 2 2 3" xfId="334" xr:uid="{EF5CC10F-550C-4319-BF52-12231B186F39}"/>
    <cellStyle name="40% - Accent5 2 2 3 2" xfId="751" xr:uid="{07973505-BE20-4D30-B152-CD72FDED3298}"/>
    <cellStyle name="40% - Accent5 2 2 4" xfId="543" xr:uid="{67301EF1-EB8E-4C7F-8997-80ED36B12B86}"/>
    <cellStyle name="40% - Accent5 2 3" xfId="177" xr:uid="{4FC3BF77-31D9-4708-9591-C3785894D2BE}"/>
    <cellStyle name="40% - Accent5 2 3 2" xfId="386" xr:uid="{4BD43BCF-2AC3-45D3-9ABD-AECA0F3DFBE8}"/>
    <cellStyle name="40% - Accent5 2 3 2 2" xfId="803" xr:uid="{FADAE84A-8B58-4548-B93D-F27ADD16FDE9}"/>
    <cellStyle name="40% - Accent5 2 3 3" xfId="595" xr:uid="{D58ACF74-865C-4173-ACCB-C1169C3C24A6}"/>
    <cellStyle name="40% - Accent5 2 4" xfId="282" xr:uid="{D379C834-4C7A-4040-8BA0-E6B5941E1AA6}"/>
    <cellStyle name="40% - Accent5 2 4 2" xfId="699" xr:uid="{8769FFA0-C99F-4756-B501-6F9151E6AD5F}"/>
    <cellStyle name="40% - Accent5 2 5" xfId="491" xr:uid="{494BE878-B386-4713-A677-8C98D35465DD}"/>
    <cellStyle name="40% - Accent5 3" xfId="84" xr:uid="{60B09225-F748-469F-BA8C-9E9776AEE3F1}"/>
    <cellStyle name="40% - Accent5 3 2" xfId="137" xr:uid="{BAF5C905-3662-4F38-BC4C-F4C55185A7C0}"/>
    <cellStyle name="40% - Accent5 3 2 2" xfId="242" xr:uid="{910CF20A-705E-41A0-9043-2B73658F39A1}"/>
    <cellStyle name="40% - Accent5 3 2 2 2" xfId="451" xr:uid="{44EB993E-368F-4380-A629-82F3BA8E5F9F}"/>
    <cellStyle name="40% - Accent5 3 2 2 2 2" xfId="868" xr:uid="{1254CF2E-8432-4FA9-B751-E83FC2A8BA3D}"/>
    <cellStyle name="40% - Accent5 3 2 2 3" xfId="660" xr:uid="{E28E3498-89F5-4119-926D-1CDDC156A0FB}"/>
    <cellStyle name="40% - Accent5 3 2 3" xfId="347" xr:uid="{57030715-6542-4B16-9809-5A044DE28AAB}"/>
    <cellStyle name="40% - Accent5 3 2 3 2" xfId="764" xr:uid="{C9C1DE1B-2E10-470D-A733-98E08A995B12}"/>
    <cellStyle name="40% - Accent5 3 2 4" xfId="556" xr:uid="{D49B6351-434D-4E3F-A299-967DE2811081}"/>
    <cellStyle name="40% - Accent5 3 3" xfId="190" xr:uid="{A8E52F0E-0473-4D3D-B84E-9AC7CDB385B1}"/>
    <cellStyle name="40% - Accent5 3 3 2" xfId="399" xr:uid="{29D14EAB-C03E-4F6D-A527-2048FEAE7F5E}"/>
    <cellStyle name="40% - Accent5 3 3 2 2" xfId="816" xr:uid="{3FDBD3B6-FF8E-498F-9D5F-8BA327789751}"/>
    <cellStyle name="40% - Accent5 3 3 3" xfId="608" xr:uid="{3BC512FA-D9B0-4502-B413-BB7FAD0EAE76}"/>
    <cellStyle name="40% - Accent5 3 4" xfId="295" xr:uid="{1DAE4501-7003-438D-B774-25AAFEFBA9C5}"/>
    <cellStyle name="40% - Accent5 3 4 2" xfId="712" xr:uid="{D322E75A-BCEB-4B3B-918D-90A416E92F82}"/>
    <cellStyle name="40% - Accent5 3 5" xfId="504" xr:uid="{0022A025-F786-4674-B897-5C7837D16C7E}"/>
    <cellStyle name="40% - Accent5 4" xfId="97" xr:uid="{ED480862-066F-4759-A871-8D008F3BAE39}"/>
    <cellStyle name="40% - Accent5 4 2" xfId="203" xr:uid="{8EBD7E63-715B-4C96-BDA9-4ED2250FAD1B}"/>
    <cellStyle name="40% - Accent5 4 2 2" xfId="412" xr:uid="{0FDE33B6-DAB5-4113-9E14-901B824B2771}"/>
    <cellStyle name="40% - Accent5 4 2 2 2" xfId="829" xr:uid="{6270B045-7E55-4859-A185-31A2AF6541B0}"/>
    <cellStyle name="40% - Accent5 4 2 3" xfId="621" xr:uid="{7E00DA9C-1C0B-4D1D-8FAD-7B838CEB6328}"/>
    <cellStyle name="40% - Accent5 4 3" xfId="308" xr:uid="{93635C9B-7842-4C8C-A969-DFC6672809C8}"/>
    <cellStyle name="40% - Accent5 4 3 2" xfId="725" xr:uid="{9ED91378-44D6-40E5-AE67-E578E72831AC}"/>
    <cellStyle name="40% - Accent5 4 4" xfId="517" xr:uid="{CB09D6AE-EEB2-413D-AF91-A7C0A35830BE}"/>
    <cellStyle name="40% - Accent5 5" xfId="110" xr:uid="{20138FCF-08E9-4846-992E-513807F6445A}"/>
    <cellStyle name="40% - Accent5 5 2" xfId="215" xr:uid="{8F4BA5D6-97EB-4246-A267-6DCD3C4BF651}"/>
    <cellStyle name="40% - Accent5 5 2 2" xfId="424" xr:uid="{E0B7C4C2-6E8A-4A35-94BE-26D370A08AF5}"/>
    <cellStyle name="40% - Accent5 5 2 2 2" xfId="841" xr:uid="{53820000-A885-4820-96CB-6E1416DB3C18}"/>
    <cellStyle name="40% - Accent5 5 2 3" xfId="633" xr:uid="{D2B5C597-1660-4530-8858-4806679A703C}"/>
    <cellStyle name="40% - Accent5 5 3" xfId="320" xr:uid="{F88C6E87-738D-4DF5-8060-54670169E0E2}"/>
    <cellStyle name="40% - Accent5 5 3 2" xfId="737" xr:uid="{0E9A5A62-C454-4AF8-84E1-0274571C5DD3}"/>
    <cellStyle name="40% - Accent5 5 4" xfId="529" xr:uid="{1DCD30B5-7C92-4271-9171-D3561690E674}"/>
    <cellStyle name="40% - Accent5 6" xfId="150" xr:uid="{C083DCE0-51FA-4748-9DC8-E556B40B38C1}"/>
    <cellStyle name="40% - Accent5 6 2" xfId="360" xr:uid="{B2F5CE34-9607-49F0-8622-1656F3296320}"/>
    <cellStyle name="40% - Accent5 6 2 2" xfId="777" xr:uid="{BDA848F0-0E7F-47AD-910C-45F831C45E24}"/>
    <cellStyle name="40% - Accent5 6 3" xfId="569" xr:uid="{361FD539-17AC-4457-A6B8-D0D33A927ABB}"/>
    <cellStyle name="40% - Accent5 7" xfId="163" xr:uid="{B1A30837-63B6-4ECC-B405-D0A40BE3CED6}"/>
    <cellStyle name="40% - Accent5 7 2" xfId="372" xr:uid="{9E92B214-A52F-49A8-970D-5BC24428813F}"/>
    <cellStyle name="40% - Accent5 7 2 2" xfId="789" xr:uid="{9C1E8CE0-D827-4867-93FD-D3BB7E8CABB4}"/>
    <cellStyle name="40% - Accent5 7 3" xfId="581" xr:uid="{50B2B172-70A0-4B4E-AC86-8AF00406F844}"/>
    <cellStyle name="40% - Accent5 8" xfId="255" xr:uid="{A14F14E4-C3EB-420A-9F4E-CD1E69EAB0A8}"/>
    <cellStyle name="40% - Accent5 8 2" xfId="673" xr:uid="{80C5B955-685D-40F3-A449-1AA1150582D9}"/>
    <cellStyle name="40% - Accent5 9" xfId="268" xr:uid="{78697790-597C-4CC6-B2A8-C2FD85BE7760}"/>
    <cellStyle name="40% - Accent5 9 2" xfId="685" xr:uid="{C94BA7A0-5C67-4A82-B4CD-5BFF4599AB53}"/>
    <cellStyle name="40% - Accent6" xfId="50" builtinId="51" customBuiltin="1"/>
    <cellStyle name="40% - Accent6 10" xfId="466" xr:uid="{FB28654C-D971-4AE3-8258-4B11DEBCF791}"/>
    <cellStyle name="40% - Accent6 11" xfId="479" xr:uid="{57DC7489-2EBD-49E3-B72E-0109CB05B84C}"/>
    <cellStyle name="40% - Accent6 2" xfId="73" xr:uid="{DC7FA032-733A-4F17-A2E5-E6243EEE6A05}"/>
    <cellStyle name="40% - Accent6 2 2" xfId="126" xr:uid="{7F0C193B-AC50-4740-869A-D34C0D56AB69}"/>
    <cellStyle name="40% - Accent6 2 2 2" xfId="231" xr:uid="{885BC53E-A915-4183-9E6B-6D727251B92B}"/>
    <cellStyle name="40% - Accent6 2 2 2 2" xfId="440" xr:uid="{EF1CF3CC-AADF-4416-8355-BC0A911A9073}"/>
    <cellStyle name="40% - Accent6 2 2 2 2 2" xfId="857" xr:uid="{1CEF2C17-4E3C-40B1-B904-4502C1F86221}"/>
    <cellStyle name="40% - Accent6 2 2 2 3" xfId="649" xr:uid="{1784B810-FC28-429E-90F1-BD1673D224C0}"/>
    <cellStyle name="40% - Accent6 2 2 3" xfId="336" xr:uid="{69D94C3B-9E16-4E0F-A578-0CDA375E8E76}"/>
    <cellStyle name="40% - Accent6 2 2 3 2" xfId="753" xr:uid="{A7C80BAA-8EEC-4111-9095-579646A93970}"/>
    <cellStyle name="40% - Accent6 2 2 4" xfId="545" xr:uid="{B85D7CE8-290D-448D-B893-970FB6894867}"/>
    <cellStyle name="40% - Accent6 2 3" xfId="179" xr:uid="{B3C4C54E-674E-4F3B-82EB-88AF98F67CB4}"/>
    <cellStyle name="40% - Accent6 2 3 2" xfId="388" xr:uid="{4915275F-23BD-4A58-A0D6-0DDEBB087F25}"/>
    <cellStyle name="40% - Accent6 2 3 2 2" xfId="805" xr:uid="{47669F06-CA6C-4E21-ABF1-D94F36114A8D}"/>
    <cellStyle name="40% - Accent6 2 3 3" xfId="597" xr:uid="{370E53FF-CCD8-45E4-AC7B-F4E6592FE90E}"/>
    <cellStyle name="40% - Accent6 2 4" xfId="284" xr:uid="{7CB74401-0DA5-402F-BC74-D4C5EB0AAE2F}"/>
    <cellStyle name="40% - Accent6 2 4 2" xfId="701" xr:uid="{2B6FADFC-8673-4741-8BD8-BB1DD371E650}"/>
    <cellStyle name="40% - Accent6 2 5" xfId="493" xr:uid="{DE017D9A-8068-41C9-932C-F1AFD07175AF}"/>
    <cellStyle name="40% - Accent6 3" xfId="86" xr:uid="{647C4B96-89D1-42C8-9D92-F775EFF2D6B7}"/>
    <cellStyle name="40% - Accent6 3 2" xfId="139" xr:uid="{74438AEF-E1D1-45C2-8DF0-240F5AB259F8}"/>
    <cellStyle name="40% - Accent6 3 2 2" xfId="244" xr:uid="{1091A4D0-B61F-4B2A-AE8C-9A0028EC2991}"/>
    <cellStyle name="40% - Accent6 3 2 2 2" xfId="453" xr:uid="{5626E110-9E7D-4074-B7F0-0A817B14FA33}"/>
    <cellStyle name="40% - Accent6 3 2 2 2 2" xfId="870" xr:uid="{D185CE1B-E550-48EF-B708-F7F4B9F359BC}"/>
    <cellStyle name="40% - Accent6 3 2 2 3" xfId="662" xr:uid="{7F41695F-356B-4803-A1D0-938271B27AB7}"/>
    <cellStyle name="40% - Accent6 3 2 3" xfId="349" xr:uid="{1DAECC27-D5C7-48B2-B492-2A69A1909140}"/>
    <cellStyle name="40% - Accent6 3 2 3 2" xfId="766" xr:uid="{1861217F-AF3A-4885-AC22-EEFA99E92E34}"/>
    <cellStyle name="40% - Accent6 3 2 4" xfId="558" xr:uid="{C35D8F26-C5A3-4318-8514-4DBB6C8F479A}"/>
    <cellStyle name="40% - Accent6 3 3" xfId="192" xr:uid="{CBE08CB6-44C5-4F11-9243-768666D36543}"/>
    <cellStyle name="40% - Accent6 3 3 2" xfId="401" xr:uid="{EB8A4599-488A-467A-A17A-862DE03F506F}"/>
    <cellStyle name="40% - Accent6 3 3 2 2" xfId="818" xr:uid="{65A9BD9B-5A6C-4454-8C69-B52B0B5BD623}"/>
    <cellStyle name="40% - Accent6 3 3 3" xfId="610" xr:uid="{941ED9A2-9E15-4A14-B247-45C8AD1EAFF7}"/>
    <cellStyle name="40% - Accent6 3 4" xfId="297" xr:uid="{43EF5CFD-C233-41E5-8D45-7C4AEF0A724F}"/>
    <cellStyle name="40% - Accent6 3 4 2" xfId="714" xr:uid="{13F179D5-1DEA-4754-BDC0-0A77AEE5DF09}"/>
    <cellStyle name="40% - Accent6 3 5" xfId="506" xr:uid="{C1E1CD59-5024-4EE2-B38E-A0E8D4B48D68}"/>
    <cellStyle name="40% - Accent6 4" xfId="99" xr:uid="{B47A959E-8AA5-4B83-876F-7D29EF2FC7FA}"/>
    <cellStyle name="40% - Accent6 4 2" xfId="205" xr:uid="{E4542F06-49FC-4756-9A74-FA319DD68D0D}"/>
    <cellStyle name="40% - Accent6 4 2 2" xfId="414" xr:uid="{BEB8CF77-B8E7-4C4F-983E-AB4AF55804E9}"/>
    <cellStyle name="40% - Accent6 4 2 2 2" xfId="831" xr:uid="{9072DB74-A8F6-411A-BED3-CB510138E8B9}"/>
    <cellStyle name="40% - Accent6 4 2 3" xfId="623" xr:uid="{22378E12-51E8-4CBE-8F72-B5DE64BD9AC6}"/>
    <cellStyle name="40% - Accent6 4 3" xfId="310" xr:uid="{629AB3C9-2BF4-40AE-BD06-FDE3D97C3442}"/>
    <cellStyle name="40% - Accent6 4 3 2" xfId="727" xr:uid="{846BBC17-5B61-4BE9-ABE7-7682212C8FE2}"/>
    <cellStyle name="40% - Accent6 4 4" xfId="519" xr:uid="{03C72BC2-041E-4217-9D10-79F0876FE248}"/>
    <cellStyle name="40% - Accent6 5" xfId="112" xr:uid="{D13F8BE1-98D8-4196-9F0C-A8249F1FAF1D}"/>
    <cellStyle name="40% - Accent6 5 2" xfId="217" xr:uid="{42E29BA6-7F6C-49B3-A5CB-1D1B754BA49C}"/>
    <cellStyle name="40% - Accent6 5 2 2" xfId="426" xr:uid="{1D021140-3DAF-4F9B-AEEC-3E395329D47F}"/>
    <cellStyle name="40% - Accent6 5 2 2 2" xfId="843" xr:uid="{DFDF5AE1-5028-44B3-83A4-DD5A4ABE3BAB}"/>
    <cellStyle name="40% - Accent6 5 2 3" xfId="635" xr:uid="{894F518C-44AF-4A50-9B0B-179A18BB3D2D}"/>
    <cellStyle name="40% - Accent6 5 3" xfId="322" xr:uid="{30EE30C7-4226-4271-ADA3-E3B4EE12C74C}"/>
    <cellStyle name="40% - Accent6 5 3 2" xfId="739" xr:uid="{67670265-A6E3-4C45-BEFC-59A3C35B69C2}"/>
    <cellStyle name="40% - Accent6 5 4" xfId="531" xr:uid="{02EF10BE-565E-4270-8E19-F5215B51FAA8}"/>
    <cellStyle name="40% - Accent6 6" xfId="152" xr:uid="{D116980E-69E9-403E-A7A6-A4BB42E4465E}"/>
    <cellStyle name="40% - Accent6 6 2" xfId="362" xr:uid="{C6F93B01-BE3E-4A6D-9E12-4E30B2F97422}"/>
    <cellStyle name="40% - Accent6 6 2 2" xfId="779" xr:uid="{7BBCF4AE-2AA6-4F86-A537-FC13D1ADD3D9}"/>
    <cellStyle name="40% - Accent6 6 3" xfId="571" xr:uid="{79503719-A20C-4B2E-BCBE-595AA2CF8D38}"/>
    <cellStyle name="40% - Accent6 7" xfId="165" xr:uid="{BE2B83D4-7685-43D5-BC77-54E65E76410B}"/>
    <cellStyle name="40% - Accent6 7 2" xfId="374" xr:uid="{9E22A0C9-E81A-485F-922E-D9AADECC06AC}"/>
    <cellStyle name="40% - Accent6 7 2 2" xfId="791" xr:uid="{9549EB10-3502-4E4F-903F-EEAE12A64EFE}"/>
    <cellStyle name="40% - Accent6 7 3" xfId="583" xr:uid="{CFD91A66-D1F4-488A-8DBC-F3829DAD3AAA}"/>
    <cellStyle name="40% - Accent6 8" xfId="257" xr:uid="{659003BB-39D6-401F-999E-AC2CE0E45A4C}"/>
    <cellStyle name="40% - Accent6 8 2" xfId="675" xr:uid="{5737B9C9-4B4E-49E1-A331-91FAC9958790}"/>
    <cellStyle name="40% - Accent6 9" xfId="270" xr:uid="{795A4862-CCDB-4EC6-A47D-F873C44D3A9A}"/>
    <cellStyle name="40% - Accent6 9 2" xfId="687" xr:uid="{7AD08F40-9966-489E-A969-E7069F10A978}"/>
    <cellStyle name="60% - Accent1 2" xfId="54" xr:uid="{FC2A249B-5EE7-4226-B295-70EBC9E0F29D}"/>
    <cellStyle name="60% - Accent2 2" xfId="55" xr:uid="{3A11322F-64E8-4ECD-844C-3868E73A5805}"/>
    <cellStyle name="60% - Accent3 2" xfId="56" xr:uid="{288B03F4-0890-4644-B41D-85030F40FF99}"/>
    <cellStyle name="60% - Accent4 2" xfId="57" xr:uid="{B1D8812B-DE30-4EEC-A24F-53A0910DFA17}"/>
    <cellStyle name="60% - Accent5 2" xfId="58" xr:uid="{60CB0EDF-A0BC-468D-868B-D3F14012D746}"/>
    <cellStyle name="60% - Accent6 2" xfId="59" xr:uid="{3A7D9420-7F8A-4682-A283-DF51392EBF0E}"/>
    <cellStyle name="Accent1" xfId="33" builtinId="29" customBuiltin="1"/>
    <cellStyle name="Accent2" xfId="36" builtinId="33" customBuiltin="1"/>
    <cellStyle name="Accent3" xfId="39" builtinId="37" customBuiltin="1"/>
    <cellStyle name="Accent4" xfId="42" builtinId="41" customBuiltin="1"/>
    <cellStyle name="Accent5" xfId="45" builtinId="45" customBuiltin="1"/>
    <cellStyle name="Accent6" xfId="48" builtinId="49" customBuiltin="1"/>
    <cellStyle name="Bad" xfId="24" builtinId="27" customBuiltin="1"/>
    <cellStyle name="Calculation" xfId="27" builtinId="22" customBuiltin="1"/>
    <cellStyle name="Check Cell" xfId="29" builtinId="23" customBuiltin="1"/>
    <cellStyle name="Comma" xfId="5" builtinId="3"/>
    <cellStyle name="Comma 2" xfId="13" xr:uid="{372E6A3D-7A73-4A79-B567-8491E6CF092A}"/>
    <cellStyle name="Currency" xfId="1" builtinId="4"/>
    <cellStyle name="Currency 2" xfId="8" xr:uid="{62B7280C-6958-4F27-BB25-5FEC81744ADE}"/>
    <cellStyle name="Currency 2 2" xfId="12" xr:uid="{8CB08998-2B9A-4E8E-8A9B-3D4305700091}"/>
    <cellStyle name="Currency 2 3" xfId="100" xr:uid="{F5A179B7-29F1-4333-8CE6-20D5F0C11F9B}"/>
    <cellStyle name="Currency 3" xfId="14" xr:uid="{9CD95B0A-0A56-4CE7-8269-739836EAAF69}"/>
    <cellStyle name="Currency 3 2" xfId="153" xr:uid="{E6EECDE7-9E0A-4D5A-AE9F-F8964DEE2F97}"/>
    <cellStyle name="Currency 4" xfId="15" xr:uid="{2DE19590-9E7B-4FB9-8589-FA60265B4BD4}"/>
    <cellStyle name="Currency 4 2" xfId="258" xr:uid="{BA268F90-4AD4-4003-B830-CA687BD092EF}"/>
    <cellStyle name="Currency 5" xfId="18" xr:uid="{67C07669-22DD-4964-B8EA-E2F6F0EE9260}"/>
    <cellStyle name="Currency 5 2" xfId="467" xr:uid="{78464969-050B-4C23-BBF3-3165EB209934}"/>
    <cellStyle name="Currency 6" xfId="10" xr:uid="{E7A562C1-92BB-48FD-A853-4580D5DEE57B}"/>
    <cellStyle name="Currency 7" xfId="51" xr:uid="{2BD9C79E-40FE-4B6A-B0BD-7B98B44F5DA9}"/>
    <cellStyle name="Explanatory Text" xfId="31" builtinId="53" customBuiltin="1"/>
    <cellStyle name="Good" xfId="23" builtinId="26" customBuiltin="1"/>
    <cellStyle name="Heading 1" xfId="19" builtinId="16" customBuiltin="1"/>
    <cellStyle name="Heading 2" xfId="20" builtinId="17" customBuiltin="1"/>
    <cellStyle name="Heading 3" xfId="21" builtinId="18" customBuiltin="1"/>
    <cellStyle name="Heading 4" xfId="22" builtinId="19" customBuiltin="1"/>
    <cellStyle name="Input" xfId="25" builtinId="20" customBuiltin="1"/>
    <cellStyle name="Linked Cell" xfId="28" builtinId="24" customBuiltin="1"/>
    <cellStyle name="Neutral 2" xfId="53" xr:uid="{4342CA60-D56B-4A81-A20E-5646AAA3A85B}"/>
    <cellStyle name="Normal" xfId="0" builtinId="0"/>
    <cellStyle name="Normal 2" xfId="4" xr:uid="{86C41C9D-C4F1-4099-8202-89E4AB13AC37}"/>
    <cellStyle name="Normal 2 2" xfId="11" xr:uid="{089A3403-7C80-48BD-B27E-0EA58FBFEBDA}"/>
    <cellStyle name="Normal 3" xfId="6" xr:uid="{2BACB86A-FFDD-4462-B391-795F2CEB966F}"/>
    <cellStyle name="Normal 4" xfId="9" xr:uid="{F2D5E50F-DB1E-4B6F-9A23-5EDC91627548}"/>
    <cellStyle name="Normal 5" xfId="16" xr:uid="{3C16E0BB-5E68-4F03-9E4A-CE5F7F525B98}"/>
    <cellStyle name="Normal_Priority Direct Assessment Test" xfId="3" xr:uid="{8F28FB49-5B08-4C7D-923E-84F36144A175}"/>
    <cellStyle name="Note 2" xfId="60" xr:uid="{CADCD0C3-AFD3-4E4E-95A0-A0F14E051A70}"/>
    <cellStyle name="Note 2 2" xfId="113" xr:uid="{3F9CBA96-52BC-4591-BC84-63D5BE36467D}"/>
    <cellStyle name="Note 2 2 2" xfId="218" xr:uid="{760B26C7-FA31-42EA-90EE-1E31EC5881FF}"/>
    <cellStyle name="Note 2 2 2 2" xfId="427" xr:uid="{C123E80E-2165-4917-89A3-37EA8D6FFC4C}"/>
    <cellStyle name="Note 2 2 2 2 2" xfId="844" xr:uid="{59C09B34-D9C8-4752-8020-E7B275D1D77D}"/>
    <cellStyle name="Note 2 2 2 3" xfId="636" xr:uid="{EE949B76-1EDB-4796-9DDF-B6C68B66EA1F}"/>
    <cellStyle name="Note 2 2 3" xfId="323" xr:uid="{F7711BA1-0172-4EA1-A592-4260712C49F8}"/>
    <cellStyle name="Note 2 2 3 2" xfId="740" xr:uid="{6E162460-5347-44CA-96A7-5A0688F63DC3}"/>
    <cellStyle name="Note 2 2 4" xfId="532" xr:uid="{5421AF6A-3742-4B2B-ACC7-ADECB51C2ECA}"/>
    <cellStyle name="Note 2 3" xfId="166" xr:uid="{1357E676-D285-488C-BBF8-EE3FDB430774}"/>
    <cellStyle name="Note 2 3 2" xfId="375" xr:uid="{53917816-1C43-4051-858E-DA32C35985D4}"/>
    <cellStyle name="Note 2 3 2 2" xfId="792" xr:uid="{1FC58D86-5811-4685-9E34-EC823698AD77}"/>
    <cellStyle name="Note 2 3 3" xfId="584" xr:uid="{6C4A0AF0-6387-4765-BA66-A0E34F3C9DEA}"/>
    <cellStyle name="Note 2 4" xfId="271" xr:uid="{454E3BF7-F837-4A12-A597-5600B678B405}"/>
    <cellStyle name="Note 2 4 2" xfId="688" xr:uid="{8F2B5F5A-3A5F-4D4A-950F-A70E4B7923ED}"/>
    <cellStyle name="Note 2 5" xfId="480" xr:uid="{22BF0BB0-325E-499C-99A4-C7C494BA5B18}"/>
    <cellStyle name="Note 3" xfId="61" xr:uid="{69DB4189-9847-46D4-A762-7570E60BDD82}"/>
    <cellStyle name="Note 3 2" xfId="114" xr:uid="{A88DE86D-B50A-4E70-AF8E-9ED5C3E79DC7}"/>
    <cellStyle name="Note 3 2 2" xfId="219" xr:uid="{5EC805AF-ECE4-4871-BDE4-FEE490056ADC}"/>
    <cellStyle name="Note 3 2 2 2" xfId="428" xr:uid="{0388D0A4-2C92-41BD-A198-01B7F4E1C4FA}"/>
    <cellStyle name="Note 3 2 2 2 2" xfId="845" xr:uid="{8D0CD781-AFD3-41DD-B04B-10BA1B3C7DED}"/>
    <cellStyle name="Note 3 2 2 3" xfId="637" xr:uid="{FC2800D7-A1AE-4CE3-B152-6A5048557289}"/>
    <cellStyle name="Note 3 2 3" xfId="324" xr:uid="{9BF74BBA-40AC-463C-9350-4F761AE179A3}"/>
    <cellStyle name="Note 3 2 3 2" xfId="741" xr:uid="{7D4E34BC-96B9-4EA8-AD4B-7E7B8D5E8771}"/>
    <cellStyle name="Note 3 2 4" xfId="533" xr:uid="{3F99C6F0-C3B7-48FA-8962-4FEAFA20B020}"/>
    <cellStyle name="Note 3 3" xfId="167" xr:uid="{865B4DB1-22E2-4DA4-945B-313DA019EEA7}"/>
    <cellStyle name="Note 3 3 2" xfId="376" xr:uid="{AC42598C-7979-431A-9F45-9CB24A022822}"/>
    <cellStyle name="Note 3 3 2 2" xfId="793" xr:uid="{A22D4E98-1C8B-4406-8D1B-0B3C60B693E7}"/>
    <cellStyle name="Note 3 3 3" xfId="585" xr:uid="{225579B6-5453-4CDF-9B5B-E8EE99985BDC}"/>
    <cellStyle name="Note 3 4" xfId="272" xr:uid="{46353204-C474-4051-8C44-AB5721D383CC}"/>
    <cellStyle name="Note 3 4 2" xfId="689" xr:uid="{64F66FDE-8C8A-4013-AFC1-56238F98EF83}"/>
    <cellStyle name="Note 3 5" xfId="481" xr:uid="{7F61ACE4-B7CF-44B3-8576-643B698EC58D}"/>
    <cellStyle name="Note 4" xfId="74" xr:uid="{8701F5FB-0569-431E-901E-2E1D0D85B7B9}"/>
    <cellStyle name="Note 4 2" xfId="127" xr:uid="{CB9DE855-DC27-4E23-9EC8-9313EE29B870}"/>
    <cellStyle name="Note 4 2 2" xfId="232" xr:uid="{A4836A27-A7B6-40B8-8AF8-956C916BFE17}"/>
    <cellStyle name="Note 4 2 2 2" xfId="441" xr:uid="{8217A526-4B1D-4A6F-9DC2-B02AB40560E8}"/>
    <cellStyle name="Note 4 2 2 2 2" xfId="858" xr:uid="{2FA3D3F3-6E09-4C6A-AA40-B6640E35EA6B}"/>
    <cellStyle name="Note 4 2 2 3" xfId="650" xr:uid="{DBB2545E-B98F-4EEA-BC12-7E141C5F361E}"/>
    <cellStyle name="Note 4 2 3" xfId="337" xr:uid="{F808A57B-A11D-4BEE-9B6D-93EC340216B7}"/>
    <cellStyle name="Note 4 2 3 2" xfId="754" xr:uid="{5BC5CB5C-E29C-46CE-A321-55433383234A}"/>
    <cellStyle name="Note 4 2 4" xfId="546" xr:uid="{650CD974-AF0F-4C1B-AECC-4D185B7F4289}"/>
    <cellStyle name="Note 4 3" xfId="180" xr:uid="{B9253D9D-0794-4673-939A-36C7B0CEDF08}"/>
    <cellStyle name="Note 4 3 2" xfId="389" xr:uid="{04AEE0A2-5D62-4B64-BD7A-C5F779FD26B4}"/>
    <cellStyle name="Note 4 3 2 2" xfId="806" xr:uid="{64BE8EB8-1938-40C1-A372-EC005DC4C22A}"/>
    <cellStyle name="Note 4 3 3" xfId="598" xr:uid="{A8753D84-4EEC-4287-A6E6-082914C8FD07}"/>
    <cellStyle name="Note 4 4" xfId="285" xr:uid="{E378D4C4-6D68-4B2F-B53C-266B4648C6BA}"/>
    <cellStyle name="Note 4 4 2" xfId="702" xr:uid="{AED94D2D-C66C-4131-95A8-82B2D4847AFF}"/>
    <cellStyle name="Note 4 5" xfId="494" xr:uid="{91BB0723-32F4-499A-8DF8-0ACAFA81E0C4}"/>
    <cellStyle name="Note 5" xfId="87" xr:uid="{AA393901-4EA4-47C7-814C-E10CEA63821F}"/>
    <cellStyle name="Note 5 2" xfId="193" xr:uid="{5DBF2B75-2F73-4ACF-A848-1CBEE6145E45}"/>
    <cellStyle name="Note 5 2 2" xfId="402" xr:uid="{3AC0B38F-2E2C-4DE9-98AD-6B3C13A0D047}"/>
    <cellStyle name="Note 5 2 2 2" xfId="819" xr:uid="{5A72DCB7-BCB8-4976-AA5B-6252C374AC1C}"/>
    <cellStyle name="Note 5 2 3" xfId="611" xr:uid="{2C240B74-CEA9-49C8-80E3-EEAEDE386DB3}"/>
    <cellStyle name="Note 5 3" xfId="298" xr:uid="{6C9EC5FF-579A-4B30-A022-F0ADE0446522}"/>
    <cellStyle name="Note 5 3 2" xfId="715" xr:uid="{E64B315C-3CF1-43BB-915F-9F2379F7DC3A}"/>
    <cellStyle name="Note 5 4" xfId="507" xr:uid="{9DEE47AE-41EE-4B9B-9BC5-8563315E1190}"/>
    <cellStyle name="Note 6" xfId="140" xr:uid="{FA131CE8-07A1-41E1-93E5-8A8906A964B0}"/>
    <cellStyle name="Note 6 2" xfId="350" xr:uid="{48979EEC-CD91-4D33-A9B2-F7E9E0F68A0B}"/>
    <cellStyle name="Note 6 2 2" xfId="767" xr:uid="{6E5C69DF-4C36-4A00-A0C7-30D5E128652B}"/>
    <cellStyle name="Note 6 3" xfId="559" xr:uid="{FDDB159A-0611-4435-905A-A97B5E91D42D}"/>
    <cellStyle name="Note 7" xfId="245" xr:uid="{789485E0-1D71-4307-8D80-47DAB86FC8AB}"/>
    <cellStyle name="Note 7 2" xfId="663" xr:uid="{043CD7E2-A320-4C25-88FF-7AC1B0E82454}"/>
    <cellStyle name="Note 8" xfId="454" xr:uid="{FFF5F679-B911-45AF-BA6E-7FDA6FFCDC39}"/>
    <cellStyle name="Output" xfId="26" builtinId="21" customBuiltin="1"/>
    <cellStyle name="Percent" xfId="2" builtinId="5"/>
    <cellStyle name="Percent 2" xfId="7" xr:uid="{F4005305-BD7E-4BC1-BA64-2A1D713BEE9D}"/>
    <cellStyle name="Percent 3" xfId="17" xr:uid="{4ECE8FFE-F279-4EB0-82F5-2279BFD134CC}"/>
    <cellStyle name="Title 2" xfId="52" xr:uid="{5A031037-CD05-45CE-9597-9213F56DAE7E}"/>
    <cellStyle name="Total" xfId="32" builtinId="25" customBuiltin="1"/>
    <cellStyle name="Warning Text" xfId="30" builtinId="11" customBuiltin="1"/>
  </cellStyles>
  <dxfs count="164">
    <dxf>
      <numFmt numFmtId="0" formatCode="General"/>
    </dxf>
    <dxf>
      <numFmt numFmtId="0" formatCode="General"/>
    </dxf>
    <dxf>
      <fill>
        <patternFill>
          <bgColor rgb="FFFF0000"/>
        </patternFill>
      </fill>
    </dxf>
    <dxf>
      <fill>
        <patternFill>
          <bgColor rgb="FF00FF00"/>
        </patternFill>
      </fill>
    </dxf>
    <dxf>
      <font>
        <b/>
        <i val="0"/>
        <color rgb="FFC00000"/>
      </font>
      <fill>
        <patternFill patternType="none">
          <bgColor auto="1"/>
        </patternFill>
      </fill>
    </dxf>
    <dxf>
      <fill>
        <patternFill>
          <bgColor theme="7" tint="0.39994506668294322"/>
        </patternFill>
      </fill>
    </dxf>
    <dxf>
      <font>
        <b/>
        <i val="0"/>
      </font>
      <fill>
        <patternFill>
          <bgColor theme="7" tint="0.39994506668294322"/>
        </patternFill>
      </fill>
    </dxf>
    <dxf>
      <fill>
        <patternFill>
          <bgColor theme="7" tint="0.39994506668294322"/>
        </patternFill>
      </fill>
    </dxf>
    <dxf>
      <fill>
        <patternFill>
          <bgColor theme="0" tint="-0.34998626667073579"/>
        </patternFill>
      </fill>
    </dxf>
    <dxf>
      <font>
        <color theme="0"/>
      </font>
      <border>
        <left/>
        <right/>
        <top style="thin">
          <color auto="1"/>
        </top>
        <bottom style="thin">
          <color auto="1"/>
        </bottom>
        <vertical/>
        <horizontal/>
      </border>
    </dxf>
    <dxf>
      <fill>
        <patternFill>
          <bgColor rgb="FF00B050"/>
        </patternFill>
      </fill>
    </dxf>
    <dxf>
      <fill>
        <patternFill>
          <bgColor rgb="FFFF0000"/>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ill>
        <patternFill>
          <bgColor theme="7"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006100"/>
      </font>
      <fill>
        <patternFill>
          <bgColor rgb="FFC6EFCE"/>
        </patternFill>
      </fill>
    </dxf>
    <dxf>
      <font>
        <color rgb="FF9C0006"/>
      </font>
      <fill>
        <patternFill>
          <bgColor rgb="FFFFC7CE"/>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theme="7" tint="0.59996337778862885"/>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ont>
        <color theme="0"/>
      </font>
      <fill>
        <patternFill patternType="solid">
          <bgColor theme="0"/>
        </patternFill>
      </fill>
      <border>
        <left/>
        <right/>
        <top/>
        <bottom/>
        <vertical/>
        <horizontal/>
      </border>
    </dxf>
    <dxf>
      <font>
        <color theme="0"/>
      </font>
      <fill>
        <patternFill>
          <fgColor theme="0"/>
          <bgColor theme="0"/>
        </patternFill>
      </fill>
      <border>
        <left style="thin">
          <color auto="1"/>
        </left>
        <right/>
        <top/>
        <bottom/>
      </border>
    </dxf>
    <dxf>
      <font>
        <color rgb="FF9C0006"/>
      </font>
      <fill>
        <patternFill>
          <bgColor rgb="FFFFC7CE"/>
        </patternFill>
      </fill>
    </dxf>
    <dxf>
      <font>
        <color rgb="FF006100"/>
      </font>
      <fill>
        <patternFill>
          <bgColor rgb="FFC6EF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border>
    </dxf>
    <dxf>
      <fill>
        <patternFill>
          <bgColor rgb="FFFFC000"/>
        </patternFill>
      </fill>
    </dxf>
    <dxf>
      <fill>
        <patternFill>
          <bgColor theme="0" tint="-0.34998626667073579"/>
        </patternFill>
      </fill>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ont>
        <color theme="0"/>
      </font>
      <fill>
        <patternFill patternType="solid">
          <bgColor theme="0"/>
        </patternFill>
      </fill>
    </dxf>
    <dxf>
      <fill>
        <patternFill>
          <bgColor theme="0" tint="-0.24994659260841701"/>
        </patternFill>
      </fill>
    </dxf>
    <dxf>
      <font>
        <color theme="0"/>
      </font>
      <border>
        <left/>
        <right/>
        <top style="thin">
          <color auto="1"/>
        </top>
        <bottom style="thin">
          <color auto="1"/>
        </bottom>
        <vertical/>
        <horizontal/>
      </border>
    </dxf>
    <dxf>
      <fill>
        <patternFill>
          <bgColor theme="0" tint="-0.24994659260841701"/>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ill>
        <patternFill>
          <bgColor theme="0"/>
        </patternFill>
      </fill>
    </dxf>
    <dxf>
      <font>
        <color theme="0"/>
      </font>
    </dxf>
    <dxf>
      <border>
        <left/>
        <right/>
        <top/>
        <bottom/>
      </border>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border>
    </dxf>
    <dxf>
      <fill>
        <patternFill>
          <bgColor rgb="FFFFC000"/>
        </patternFill>
      </fill>
    </dxf>
    <dxf>
      <fill>
        <patternFill>
          <bgColor theme="0" tint="-0.34998626667073579"/>
        </patternFill>
      </fill>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ont>
        <color theme="0"/>
      </font>
      <fill>
        <patternFill patternType="solid">
          <bgColor theme="0"/>
        </patternFill>
      </fill>
    </dxf>
    <dxf>
      <fill>
        <patternFill>
          <bgColor theme="0" tint="-0.24994659260841701"/>
        </patternFill>
      </fill>
    </dxf>
    <dxf>
      <font>
        <color theme="0"/>
      </font>
      <border>
        <left/>
        <right/>
        <top style="thin">
          <color auto="1"/>
        </top>
        <bottom style="thin">
          <color auto="1"/>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ont>
        <color theme="0"/>
      </font>
      <fill>
        <patternFill patternType="solid">
          <bgColor theme="0"/>
        </patternFill>
      </fill>
      <border>
        <left/>
        <right/>
        <top/>
        <bottom/>
        <vertical/>
        <horizontal/>
      </border>
    </dxf>
    <dxf>
      <font>
        <color theme="0"/>
      </font>
      <fill>
        <patternFill patternType="solid">
          <bgColor theme="0"/>
        </patternFill>
      </fill>
      <border>
        <left/>
        <right/>
        <top/>
        <bottom/>
        <vertical/>
        <horizontal/>
      </border>
    </dxf>
    <dxf>
      <font>
        <color theme="0"/>
      </font>
      <fill>
        <patternFill patternType="solid">
          <bgColor theme="0"/>
        </patternFill>
      </fill>
      <border>
        <left style="thin">
          <color auto="1"/>
        </left>
        <right/>
        <top/>
        <bottom/>
        <vertical/>
        <horizontal/>
      </border>
    </dxf>
    <dxf>
      <fill>
        <patternFill>
          <bgColor theme="0"/>
        </patternFill>
      </fill>
    </dxf>
    <dxf>
      <font>
        <color theme="0"/>
      </font>
    </dxf>
    <dxf>
      <border>
        <left/>
        <right/>
        <top/>
        <bottom/>
      </border>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s>
  <tableStyles count="0" defaultTableStyle="TableStyleMedium2" defaultPivotStyle="PivotStyleLight16"/>
  <colors>
    <mruColors>
      <color rgb="FF414141"/>
      <color rgb="FF22134E"/>
      <color rgb="FF203764"/>
      <color rgb="FFBDD7EE"/>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17/10/relationships/person" Target="persons/person.xml"/><Relationship Id="rId37"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onnections" Target="connections.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sharedStrings" Target="sharedStrings.xml"/><Relationship Id="rId35"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checked="Checked"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checked="Checked"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checked="Checked"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checked="Checked"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emf"/></Relationships>
</file>

<file path=xl/drawings/_rels/drawing8.xml.rels><?xml version="1.0" encoding="UTF-8" standalone="yes"?>
<Relationships xmlns="http://schemas.openxmlformats.org/package/2006/relationships"><Relationship Id="rId1" Type="http://schemas.openxmlformats.org/officeDocument/2006/relationships/image" Target="../media/image5.emf"/></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508676</xdr:colOff>
      <xdr:row>1</xdr:row>
      <xdr:rowOff>0</xdr:rowOff>
    </xdr:to>
    <xdr:pic>
      <xdr:nvPicPr>
        <xdr:cNvPr id="10" name="Logo">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0"/>
          <a:ext cx="508676" cy="190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971550</xdr:colOff>
          <xdr:row>0</xdr:row>
          <xdr:rowOff>409575</xdr:rowOff>
        </xdr:from>
        <xdr:to>
          <xdr:col>4</xdr:col>
          <xdr:colOff>800100</xdr:colOff>
          <xdr:row>0</xdr:row>
          <xdr:rowOff>866775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Reset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1152525</xdr:colOff>
          <xdr:row>0</xdr:row>
          <xdr:rowOff>419100</xdr:rowOff>
        </xdr:from>
        <xdr:to>
          <xdr:col>5</xdr:col>
          <xdr:colOff>962025</xdr:colOff>
          <xdr:row>0</xdr:row>
          <xdr:rowOff>866775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Print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676275</xdr:colOff>
          <xdr:row>48</xdr:row>
          <xdr:rowOff>47625</xdr:rowOff>
        </xdr:from>
        <xdr:to>
          <xdr:col>3</xdr:col>
          <xdr:colOff>142875</xdr:colOff>
          <xdr:row>49</xdr:row>
          <xdr:rowOff>133350</xdr:rowOff>
        </xdr:to>
        <xdr:sp macro="" textlink="">
          <xdr:nvSpPr>
            <xdr:cNvPr id="3077" name="S_E_Worksheet"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900" b="1" i="0" u="none" strike="noStrike" baseline="0">
                  <a:solidFill>
                    <a:srgbClr val="333333"/>
                  </a:solidFill>
                  <a:latin typeface="Calibri"/>
                  <a:cs typeface="Calibri"/>
                </a:rPr>
                <a:t>Click here for Company Income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1409700</xdr:colOff>
          <xdr:row>36</xdr:row>
          <xdr:rowOff>47625</xdr:rowOff>
        </xdr:from>
        <xdr:to>
          <xdr:col>5</xdr:col>
          <xdr:colOff>1695450</xdr:colOff>
          <xdr:row>38</xdr:row>
          <xdr:rowOff>123825</xdr:rowOff>
        </xdr:to>
        <xdr:sp macro="" textlink="">
          <xdr:nvSpPr>
            <xdr:cNvPr id="3078" name="S_E_Worksheet"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900" b="1" i="0" u="none" strike="noStrike" baseline="0">
                  <a:solidFill>
                    <a:srgbClr val="333333"/>
                  </a:solidFill>
                  <a:latin typeface="Calibri"/>
                  <a:cs typeface="Calibri"/>
                </a:rPr>
                <a:t>Click here for Rental &amp; Gearing worksheet</a:t>
              </a:r>
            </a:p>
          </xdr:txBody>
        </xdr:sp>
        <xdr:clientData fPrintsWithSheet="0"/>
      </xdr:twoCellAnchor>
    </mc:Choice>
    <mc:Fallback/>
  </mc:AlternateContent>
  <xdr:twoCellAnchor>
    <xdr:from>
      <xdr:col>19</xdr:col>
      <xdr:colOff>361950</xdr:colOff>
      <xdr:row>0</xdr:row>
      <xdr:rowOff>428625</xdr:rowOff>
    </xdr:from>
    <xdr:to>
      <xdr:col>21</xdr:col>
      <xdr:colOff>609379</xdr:colOff>
      <xdr:row>1</xdr:row>
      <xdr:rowOff>218965</xdr:rowOff>
    </xdr:to>
    <xdr:pic macro="[0]!InsertAndSizeLogo">
      <xdr:nvPicPr>
        <xdr:cNvPr id="3128" name="Picture 3127">
          <a:extLst>
            <a:ext uri="{FF2B5EF4-FFF2-40B4-BE49-F238E27FC236}">
              <a16:creationId xmlns:a16="http://schemas.microsoft.com/office/drawing/2014/main" id="{00000000-0008-0000-0200-00003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06125" y="428625"/>
          <a:ext cx="1771429" cy="876190"/>
        </a:xfrm>
        <a:prstGeom prst="rect">
          <a:avLst/>
        </a:prstGeom>
      </xdr:spPr>
    </xdr:pic>
    <xdr:clientData fPrintsWithSheet="0"/>
  </xdr:twoCellAnchor>
  <xdr:twoCellAnchor editAs="oneCell">
    <xdr:from>
      <xdr:col>2</xdr:col>
      <xdr:colOff>0</xdr:colOff>
      <xdr:row>0</xdr:row>
      <xdr:rowOff>0</xdr:rowOff>
    </xdr:from>
    <xdr:to>
      <xdr:col>2</xdr:col>
      <xdr:colOff>1619554</xdr:colOff>
      <xdr:row>0</xdr:row>
      <xdr:rowOff>1083733</xdr:rowOff>
    </xdr:to>
    <xdr:pic>
      <xdr:nvPicPr>
        <xdr:cNvPr id="3" name="Logo">
          <a:extLst>
            <a:ext uri="{FF2B5EF4-FFF2-40B4-BE49-F238E27FC236}">
              <a16:creationId xmlns:a16="http://schemas.microsoft.com/office/drawing/2014/main" id="{36F6919D-4421-4C6A-A556-83A4C0C7F8B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95" t="17290" r="8613" b="22067"/>
        <a:stretch/>
      </xdr:blipFill>
      <xdr:spPr>
        <a:xfrm>
          <a:off x="739888" y="0"/>
          <a:ext cx="1619554" cy="10837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123825</xdr:colOff>
          <xdr:row>2</xdr:row>
          <xdr:rowOff>133350</xdr:rowOff>
        </xdr:from>
        <xdr:to>
          <xdr:col>6</xdr:col>
          <xdr:colOff>1657350</xdr:colOff>
          <xdr:row>5</xdr:row>
          <xdr:rowOff>47625</xdr:rowOff>
        </xdr:to>
        <xdr:sp macro="" textlink="">
          <xdr:nvSpPr>
            <xdr:cNvPr id="54273" name="Button 1" hidden="1">
              <a:extLst>
                <a:ext uri="{63B3BB69-23CF-44E3-9099-C40C66FF867C}">
                  <a14:compatExt spid="_x0000_s54273"/>
                </a:ext>
                <a:ext uri="{FF2B5EF4-FFF2-40B4-BE49-F238E27FC236}">
                  <a16:creationId xmlns:a16="http://schemas.microsoft.com/office/drawing/2014/main" id="{00000000-0008-0000-0300-000001D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Reset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6</xdr:row>
          <xdr:rowOff>76200</xdr:rowOff>
        </xdr:from>
        <xdr:to>
          <xdr:col>6</xdr:col>
          <xdr:colOff>1666875</xdr:colOff>
          <xdr:row>8</xdr:row>
          <xdr:rowOff>142875</xdr:rowOff>
        </xdr:to>
        <xdr:sp macro="" textlink="">
          <xdr:nvSpPr>
            <xdr:cNvPr id="54274" name="Button 2" hidden="1">
              <a:extLst>
                <a:ext uri="{63B3BB69-23CF-44E3-9099-C40C66FF867C}">
                  <a14:compatExt spid="_x0000_s54274"/>
                </a:ext>
                <a:ext uri="{FF2B5EF4-FFF2-40B4-BE49-F238E27FC236}">
                  <a16:creationId xmlns:a16="http://schemas.microsoft.com/office/drawing/2014/main" id="{00000000-0008-0000-0300-000002D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Print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2152650</xdr:colOff>
          <xdr:row>48</xdr:row>
          <xdr:rowOff>47625</xdr:rowOff>
        </xdr:from>
        <xdr:to>
          <xdr:col>3</xdr:col>
          <xdr:colOff>1571625</xdr:colOff>
          <xdr:row>49</xdr:row>
          <xdr:rowOff>76200</xdr:rowOff>
        </xdr:to>
        <xdr:sp macro="" textlink="">
          <xdr:nvSpPr>
            <xdr:cNvPr id="54277" name="S_E_WorksheetSME" hidden="1">
              <a:extLst>
                <a:ext uri="{63B3BB69-23CF-44E3-9099-C40C66FF867C}">
                  <a14:compatExt spid="_x0000_s54277"/>
                </a:ext>
                <a:ext uri="{FF2B5EF4-FFF2-40B4-BE49-F238E27FC236}">
                  <a16:creationId xmlns:a16="http://schemas.microsoft.com/office/drawing/2014/main" id="{00000000-0008-0000-0300-000005D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900" b="1" i="0" u="none" strike="noStrike" baseline="0">
                  <a:solidFill>
                    <a:srgbClr val="333333"/>
                  </a:solidFill>
                  <a:latin typeface="Calibri"/>
                  <a:cs typeface="Calibri"/>
                </a:rPr>
                <a:t>Click here for Company Income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1295400</xdr:colOff>
          <xdr:row>36</xdr:row>
          <xdr:rowOff>66675</xdr:rowOff>
        </xdr:from>
        <xdr:to>
          <xdr:col>5</xdr:col>
          <xdr:colOff>1590675</xdr:colOff>
          <xdr:row>38</xdr:row>
          <xdr:rowOff>142875</xdr:rowOff>
        </xdr:to>
        <xdr:sp macro="" textlink="">
          <xdr:nvSpPr>
            <xdr:cNvPr id="54278" name="S_E_Worksheet" hidden="1">
              <a:extLst>
                <a:ext uri="{63B3BB69-23CF-44E3-9099-C40C66FF867C}">
                  <a14:compatExt spid="_x0000_s54278"/>
                </a:ext>
                <a:ext uri="{FF2B5EF4-FFF2-40B4-BE49-F238E27FC236}">
                  <a16:creationId xmlns:a16="http://schemas.microsoft.com/office/drawing/2014/main" id="{00000000-0008-0000-0300-000006D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900" b="1" i="0" u="none" strike="noStrike" baseline="0">
                  <a:solidFill>
                    <a:srgbClr val="333333"/>
                  </a:solidFill>
                  <a:latin typeface="Calibri"/>
                  <a:cs typeface="Calibri"/>
                </a:rPr>
                <a:t>Click here for Rental &amp; Gearing worksheet</a:t>
              </a:r>
            </a:p>
          </xdr:txBody>
        </xdr:sp>
        <xdr:clientData fPrintsWithSheet="0"/>
      </xdr:twoCellAnchor>
    </mc:Choice>
    <mc:Fallback/>
  </mc:AlternateContent>
  <xdr:twoCellAnchor editAs="oneCell">
    <xdr:from>
      <xdr:col>2</xdr:col>
      <xdr:colOff>0</xdr:colOff>
      <xdr:row>0</xdr:row>
      <xdr:rowOff>0</xdr:rowOff>
    </xdr:from>
    <xdr:to>
      <xdr:col>2</xdr:col>
      <xdr:colOff>1619554</xdr:colOff>
      <xdr:row>1</xdr:row>
      <xdr:rowOff>2249</xdr:rowOff>
    </xdr:to>
    <xdr:pic>
      <xdr:nvPicPr>
        <xdr:cNvPr id="3" name="Logo">
          <a:extLst>
            <a:ext uri="{FF2B5EF4-FFF2-40B4-BE49-F238E27FC236}">
              <a16:creationId xmlns:a16="http://schemas.microsoft.com/office/drawing/2014/main" id="{81AFAAEB-A8EA-4133-BFFE-875C22C6997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95" t="17290" r="8613" b="22067"/>
        <a:stretch/>
      </xdr:blipFill>
      <xdr:spPr>
        <a:xfrm>
          <a:off x="744141" y="0"/>
          <a:ext cx="1619554" cy="108373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885825</xdr:colOff>
          <xdr:row>0</xdr:row>
          <xdr:rowOff>66675</xdr:rowOff>
        </xdr:from>
        <xdr:to>
          <xdr:col>6</xdr:col>
          <xdr:colOff>1028700</xdr:colOff>
          <xdr:row>1</xdr:row>
          <xdr:rowOff>123825</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400-00000A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Reset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885825</xdr:colOff>
          <xdr:row>1</xdr:row>
          <xdr:rowOff>171450</xdr:rowOff>
        </xdr:from>
        <xdr:to>
          <xdr:col>6</xdr:col>
          <xdr:colOff>1028700</xdr:colOff>
          <xdr:row>2</xdr:row>
          <xdr:rowOff>228600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400-00000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Print</a:t>
              </a:r>
            </a:p>
          </xdr:txBody>
        </xdr:sp>
        <xdr:clientData fLocksWithSheet="0" fPrintsWithSheet="0"/>
      </xdr:twoCellAnchor>
    </mc:Choice>
    <mc:Fallback/>
  </mc:AlternateContent>
  <xdr:twoCellAnchor editAs="oneCell">
    <xdr:from>
      <xdr:col>7</xdr:col>
      <xdr:colOff>514350</xdr:colOff>
      <xdr:row>38</xdr:row>
      <xdr:rowOff>133350</xdr:rowOff>
    </xdr:from>
    <xdr:to>
      <xdr:col>8</xdr:col>
      <xdr:colOff>777240</xdr:colOff>
      <xdr:row>43</xdr:row>
      <xdr:rowOff>152400</xdr:rowOff>
    </xdr:to>
    <xdr:sp macro="" textlink="">
      <xdr:nvSpPr>
        <xdr:cNvPr id="1044" name="ToggleButton1" hidden="1">
          <a:extLst>
            <a:ext uri="{63B3BB69-23CF-44E3-9099-C40C66FF867C}">
              <a14:compatExt xmlns:a14="http://schemas.microsoft.com/office/drawing/2010/main" spid="_x0000_s1044"/>
            </a:ext>
            <a:ext uri="{FF2B5EF4-FFF2-40B4-BE49-F238E27FC236}">
              <a16:creationId xmlns:a16="http://schemas.microsoft.com/office/drawing/2014/main" id="{00000000-0008-0000-0400-000014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mc:AlternateContent xmlns:mc="http://schemas.openxmlformats.org/markup-compatibility/2006">
    <mc:Choice xmlns:a14="http://schemas.microsoft.com/office/drawing/2010/main" Requires="a14">
      <xdr:twoCellAnchor editAs="oneCell">
        <xdr:from>
          <xdr:col>7</xdr:col>
          <xdr:colOff>533400</xdr:colOff>
          <xdr:row>38</xdr:row>
          <xdr:rowOff>0</xdr:rowOff>
        </xdr:from>
        <xdr:to>
          <xdr:col>9</xdr:col>
          <xdr:colOff>285750</xdr:colOff>
          <xdr:row>44</xdr:row>
          <xdr:rowOff>171450</xdr:rowOff>
        </xdr:to>
        <xdr:sp macro="" textlink="">
          <xdr:nvSpPr>
            <xdr:cNvPr id="1038" name="ToggleButton1" hidden="1">
              <a:extLst>
                <a:ext uri="{63B3BB69-23CF-44E3-9099-C40C66FF867C}">
                  <a14:compatExt spid="_x0000_s1038"/>
                </a:ext>
                <a:ext uri="{FF2B5EF4-FFF2-40B4-BE49-F238E27FC236}">
                  <a16:creationId xmlns:a16="http://schemas.microsoft.com/office/drawing/2014/main" id="{00000000-0008-0000-04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0</xdr:colOff>
      <xdr:row>0</xdr:row>
      <xdr:rowOff>0</xdr:rowOff>
    </xdr:from>
    <xdr:to>
      <xdr:col>2</xdr:col>
      <xdr:colOff>1619554</xdr:colOff>
      <xdr:row>3</xdr:row>
      <xdr:rowOff>891</xdr:rowOff>
    </xdr:to>
    <xdr:pic>
      <xdr:nvPicPr>
        <xdr:cNvPr id="3" name="Logo">
          <a:extLst>
            <a:ext uri="{FF2B5EF4-FFF2-40B4-BE49-F238E27FC236}">
              <a16:creationId xmlns:a16="http://schemas.microsoft.com/office/drawing/2014/main" id="{0D84E9B6-E436-4109-B38E-450071635ED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95" t="17290" r="8613" b="22067"/>
        <a:stretch/>
      </xdr:blipFill>
      <xdr:spPr>
        <a:xfrm>
          <a:off x="772026" y="0"/>
          <a:ext cx="1619554" cy="10837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323850</xdr:colOff>
          <xdr:row>1</xdr:row>
          <xdr:rowOff>57150</xdr:rowOff>
        </xdr:from>
        <xdr:to>
          <xdr:col>10</xdr:col>
          <xdr:colOff>266700</xdr:colOff>
          <xdr:row>2</xdr:row>
          <xdr:rowOff>180975</xdr:rowOff>
        </xdr:to>
        <xdr:sp macro="" textlink="">
          <xdr:nvSpPr>
            <xdr:cNvPr id="26625" name="BackButton" hidden="1">
              <a:extLst>
                <a:ext uri="{63B3BB69-23CF-44E3-9099-C40C66FF867C}">
                  <a14:compatExt spid="_x0000_s26625"/>
                </a:ext>
                <a:ext uri="{FF2B5EF4-FFF2-40B4-BE49-F238E27FC236}">
                  <a16:creationId xmlns:a16="http://schemas.microsoft.com/office/drawing/2014/main" id="{00000000-0008-0000-0600-000001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Back to Serviceability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438150</xdr:colOff>
          <xdr:row>1</xdr:row>
          <xdr:rowOff>57150</xdr:rowOff>
        </xdr:from>
        <xdr:to>
          <xdr:col>10</xdr:col>
          <xdr:colOff>1066800</xdr:colOff>
          <xdr:row>2</xdr:row>
          <xdr:rowOff>180975</xdr:rowOff>
        </xdr:to>
        <xdr:sp macro="" textlink="">
          <xdr:nvSpPr>
            <xdr:cNvPr id="26626" name="SEResetButton" hidden="1">
              <a:extLst>
                <a:ext uri="{63B3BB69-23CF-44E3-9099-C40C66FF867C}">
                  <a14:compatExt spid="_x0000_s26626"/>
                </a:ext>
                <a:ext uri="{FF2B5EF4-FFF2-40B4-BE49-F238E27FC236}">
                  <a16:creationId xmlns:a16="http://schemas.microsoft.com/office/drawing/2014/main" id="{00000000-0008-0000-0600-000002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25</xdr:row>
          <xdr:rowOff>19050</xdr:rowOff>
        </xdr:from>
        <xdr:to>
          <xdr:col>5</xdr:col>
          <xdr:colOff>104775</xdr:colOff>
          <xdr:row>26</xdr:row>
          <xdr:rowOff>0</xdr:rowOff>
        </xdr:to>
        <xdr:sp macro="" textlink="">
          <xdr:nvSpPr>
            <xdr:cNvPr id="26627" name="SE1Checkbox" hidden="1">
              <a:extLst>
                <a:ext uri="{63B3BB69-23CF-44E3-9099-C40C66FF867C}">
                  <a14:compatExt spid="_x0000_s26627"/>
                </a:ext>
                <a:ext uri="{FF2B5EF4-FFF2-40B4-BE49-F238E27FC236}">
                  <a16:creationId xmlns:a16="http://schemas.microsoft.com/office/drawing/2014/main" id="{00000000-0008-0000-06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808080" mc:Ignorable="a14" a14:legacySpreadsheetColorIndex="2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27</xdr:row>
          <xdr:rowOff>19050</xdr:rowOff>
        </xdr:from>
        <xdr:to>
          <xdr:col>5</xdr:col>
          <xdr:colOff>104775</xdr:colOff>
          <xdr:row>27</xdr:row>
          <xdr:rowOff>228600</xdr:rowOff>
        </xdr:to>
        <xdr:sp macro="" textlink="">
          <xdr:nvSpPr>
            <xdr:cNvPr id="26628" name="SE1AdjCheckbox" hidden="1">
              <a:extLst>
                <a:ext uri="{63B3BB69-23CF-44E3-9099-C40C66FF867C}">
                  <a14:compatExt spid="_x0000_s26628"/>
                </a:ext>
                <a:ext uri="{FF2B5EF4-FFF2-40B4-BE49-F238E27FC236}">
                  <a16:creationId xmlns:a16="http://schemas.microsoft.com/office/drawing/2014/main" id="{00000000-0008-0000-06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57</xdr:row>
          <xdr:rowOff>19050</xdr:rowOff>
        </xdr:from>
        <xdr:to>
          <xdr:col>5</xdr:col>
          <xdr:colOff>104775</xdr:colOff>
          <xdr:row>58</xdr:row>
          <xdr:rowOff>19050</xdr:rowOff>
        </xdr:to>
        <xdr:sp macro="" textlink="">
          <xdr:nvSpPr>
            <xdr:cNvPr id="26629" name="SE2Checkbox" hidden="1">
              <a:extLst>
                <a:ext uri="{63B3BB69-23CF-44E3-9099-C40C66FF867C}">
                  <a14:compatExt spid="_x0000_s26629"/>
                </a:ext>
                <a:ext uri="{FF2B5EF4-FFF2-40B4-BE49-F238E27FC236}">
                  <a16:creationId xmlns:a16="http://schemas.microsoft.com/office/drawing/2014/main" id="{00000000-0008-0000-06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59</xdr:row>
          <xdr:rowOff>19050</xdr:rowOff>
        </xdr:from>
        <xdr:to>
          <xdr:col>5</xdr:col>
          <xdr:colOff>104775</xdr:colOff>
          <xdr:row>60</xdr:row>
          <xdr:rowOff>19050</xdr:rowOff>
        </xdr:to>
        <xdr:sp macro="" textlink="">
          <xdr:nvSpPr>
            <xdr:cNvPr id="26630" name="SE2AdjCheckbox" hidden="1">
              <a:extLst>
                <a:ext uri="{63B3BB69-23CF-44E3-9099-C40C66FF867C}">
                  <a14:compatExt spid="_x0000_s26630"/>
                </a:ext>
                <a:ext uri="{FF2B5EF4-FFF2-40B4-BE49-F238E27FC236}">
                  <a16:creationId xmlns:a16="http://schemas.microsoft.com/office/drawing/2014/main" id="{00000000-0008-0000-06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19</xdr:col>
      <xdr:colOff>209550</xdr:colOff>
      <xdr:row>4</xdr:row>
      <xdr:rowOff>171450</xdr:rowOff>
    </xdr:from>
    <xdr:to>
      <xdr:col>20</xdr:col>
      <xdr:colOff>146685</xdr:colOff>
      <xdr:row>7</xdr:row>
      <xdr:rowOff>81915</xdr:rowOff>
    </xdr:to>
    <xdr:sp macro="" textlink="">
      <xdr:nvSpPr>
        <xdr:cNvPr id="26635" name="OptionButton7" hidden="1">
          <a:extLst>
            <a:ext uri="{63B3BB69-23CF-44E3-9099-C40C66FF867C}">
              <a14:compatExt xmlns:a14="http://schemas.microsoft.com/office/drawing/2010/main" spid="_x0000_s26635"/>
            </a:ext>
            <a:ext uri="{FF2B5EF4-FFF2-40B4-BE49-F238E27FC236}">
              <a16:creationId xmlns:a16="http://schemas.microsoft.com/office/drawing/2014/main" id="{00000000-0008-0000-0600-00000B6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7</xdr:row>
      <xdr:rowOff>85725</xdr:rowOff>
    </xdr:from>
    <xdr:to>
      <xdr:col>21</xdr:col>
      <xdr:colOff>293370</xdr:colOff>
      <xdr:row>9</xdr:row>
      <xdr:rowOff>140970</xdr:rowOff>
    </xdr:to>
    <xdr:sp macro="" textlink="">
      <xdr:nvSpPr>
        <xdr:cNvPr id="26636" name="OptionButton8" hidden="1">
          <a:extLst>
            <a:ext uri="{63B3BB69-23CF-44E3-9099-C40C66FF867C}">
              <a14:compatExt xmlns:a14="http://schemas.microsoft.com/office/drawing/2010/main" spid="_x0000_s26636"/>
            </a:ext>
            <a:ext uri="{FF2B5EF4-FFF2-40B4-BE49-F238E27FC236}">
              <a16:creationId xmlns:a16="http://schemas.microsoft.com/office/drawing/2014/main" id="{00000000-0008-0000-0600-00000C6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36</xdr:row>
      <xdr:rowOff>190500</xdr:rowOff>
    </xdr:from>
    <xdr:to>
      <xdr:col>21</xdr:col>
      <xdr:colOff>293370</xdr:colOff>
      <xdr:row>39</xdr:row>
      <xdr:rowOff>81915</xdr:rowOff>
    </xdr:to>
    <xdr:sp macro="" textlink="">
      <xdr:nvSpPr>
        <xdr:cNvPr id="26637" name="OptionButton9" hidden="1">
          <a:extLst>
            <a:ext uri="{63B3BB69-23CF-44E3-9099-C40C66FF867C}">
              <a14:compatExt xmlns:a14="http://schemas.microsoft.com/office/drawing/2010/main" spid="_x0000_s26637"/>
            </a:ext>
            <a:ext uri="{FF2B5EF4-FFF2-40B4-BE49-F238E27FC236}">
              <a16:creationId xmlns:a16="http://schemas.microsoft.com/office/drawing/2014/main" id="{00000000-0008-0000-0600-00000D6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39</xdr:row>
      <xdr:rowOff>85725</xdr:rowOff>
    </xdr:from>
    <xdr:to>
      <xdr:col>21</xdr:col>
      <xdr:colOff>293370</xdr:colOff>
      <xdr:row>41</xdr:row>
      <xdr:rowOff>146685</xdr:rowOff>
    </xdr:to>
    <xdr:sp macro="" textlink="">
      <xdr:nvSpPr>
        <xdr:cNvPr id="26638" name="OptionButton10" hidden="1">
          <a:extLst>
            <a:ext uri="{63B3BB69-23CF-44E3-9099-C40C66FF867C}">
              <a14:compatExt xmlns:a14="http://schemas.microsoft.com/office/drawing/2010/main" spid="_x0000_s26638"/>
            </a:ext>
            <a:ext uri="{FF2B5EF4-FFF2-40B4-BE49-F238E27FC236}">
              <a16:creationId xmlns:a16="http://schemas.microsoft.com/office/drawing/2014/main" id="{00000000-0008-0000-0600-00000E6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323850</xdr:colOff>
          <xdr:row>1</xdr:row>
          <xdr:rowOff>57150</xdr:rowOff>
        </xdr:from>
        <xdr:to>
          <xdr:col>10</xdr:col>
          <xdr:colOff>266700</xdr:colOff>
          <xdr:row>2</xdr:row>
          <xdr:rowOff>180975</xdr:rowOff>
        </xdr:to>
        <xdr:sp macro="" textlink="">
          <xdr:nvSpPr>
            <xdr:cNvPr id="77825" name="BackButtonSME" hidden="1">
              <a:extLst>
                <a:ext uri="{63B3BB69-23CF-44E3-9099-C40C66FF867C}">
                  <a14:compatExt spid="_x0000_s77825"/>
                </a:ext>
                <a:ext uri="{FF2B5EF4-FFF2-40B4-BE49-F238E27FC236}">
                  <a16:creationId xmlns:a16="http://schemas.microsoft.com/office/drawing/2014/main" id="{00000000-0008-0000-0700-0000013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Back to Serviceability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438150</xdr:colOff>
          <xdr:row>1</xdr:row>
          <xdr:rowOff>57150</xdr:rowOff>
        </xdr:from>
        <xdr:to>
          <xdr:col>10</xdr:col>
          <xdr:colOff>1066800</xdr:colOff>
          <xdr:row>2</xdr:row>
          <xdr:rowOff>180975</xdr:rowOff>
        </xdr:to>
        <xdr:sp macro="" textlink="">
          <xdr:nvSpPr>
            <xdr:cNvPr id="77826" name="SEResetButton" hidden="1">
              <a:extLst>
                <a:ext uri="{63B3BB69-23CF-44E3-9099-C40C66FF867C}">
                  <a14:compatExt spid="_x0000_s77826"/>
                </a:ext>
                <a:ext uri="{FF2B5EF4-FFF2-40B4-BE49-F238E27FC236}">
                  <a16:creationId xmlns:a16="http://schemas.microsoft.com/office/drawing/2014/main" id="{00000000-0008-0000-0700-0000023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25</xdr:row>
          <xdr:rowOff>19050</xdr:rowOff>
        </xdr:from>
        <xdr:to>
          <xdr:col>5</xdr:col>
          <xdr:colOff>104775</xdr:colOff>
          <xdr:row>26</xdr:row>
          <xdr:rowOff>0</xdr:rowOff>
        </xdr:to>
        <xdr:sp macro="" textlink="">
          <xdr:nvSpPr>
            <xdr:cNvPr id="77827" name="SE1CheckboxSME" hidden="1">
              <a:extLst>
                <a:ext uri="{63B3BB69-23CF-44E3-9099-C40C66FF867C}">
                  <a14:compatExt spid="_x0000_s77827"/>
                </a:ext>
                <a:ext uri="{FF2B5EF4-FFF2-40B4-BE49-F238E27FC236}">
                  <a16:creationId xmlns:a16="http://schemas.microsoft.com/office/drawing/2014/main" id="{00000000-0008-0000-0700-00000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808080" mc:Ignorable="a14" a14:legacySpreadsheetColorIndex="2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27</xdr:row>
          <xdr:rowOff>9525</xdr:rowOff>
        </xdr:from>
        <xdr:to>
          <xdr:col>5</xdr:col>
          <xdr:colOff>114300</xdr:colOff>
          <xdr:row>27</xdr:row>
          <xdr:rowOff>219075</xdr:rowOff>
        </xdr:to>
        <xdr:sp macro="" textlink="">
          <xdr:nvSpPr>
            <xdr:cNvPr id="77828" name="SE1AdjCheckboxSME" hidden="1">
              <a:extLst>
                <a:ext uri="{63B3BB69-23CF-44E3-9099-C40C66FF867C}">
                  <a14:compatExt spid="_x0000_s77828"/>
                </a:ext>
                <a:ext uri="{FF2B5EF4-FFF2-40B4-BE49-F238E27FC236}">
                  <a16:creationId xmlns:a16="http://schemas.microsoft.com/office/drawing/2014/main" id="{00000000-0008-0000-0700-00000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57</xdr:row>
          <xdr:rowOff>19050</xdr:rowOff>
        </xdr:from>
        <xdr:to>
          <xdr:col>5</xdr:col>
          <xdr:colOff>104775</xdr:colOff>
          <xdr:row>58</xdr:row>
          <xdr:rowOff>19050</xdr:rowOff>
        </xdr:to>
        <xdr:sp macro="" textlink="">
          <xdr:nvSpPr>
            <xdr:cNvPr id="77829" name="SE2CheckboxSME" hidden="1">
              <a:extLst>
                <a:ext uri="{63B3BB69-23CF-44E3-9099-C40C66FF867C}">
                  <a14:compatExt spid="_x0000_s77829"/>
                </a:ext>
                <a:ext uri="{FF2B5EF4-FFF2-40B4-BE49-F238E27FC236}">
                  <a16:creationId xmlns:a16="http://schemas.microsoft.com/office/drawing/2014/main" id="{00000000-0008-0000-0700-00000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59</xdr:row>
          <xdr:rowOff>19050</xdr:rowOff>
        </xdr:from>
        <xdr:to>
          <xdr:col>5</xdr:col>
          <xdr:colOff>104775</xdr:colOff>
          <xdr:row>60</xdr:row>
          <xdr:rowOff>19050</xdr:rowOff>
        </xdr:to>
        <xdr:sp macro="" textlink="">
          <xdr:nvSpPr>
            <xdr:cNvPr id="77830" name="SE2AdjCheckboxSME" hidden="1">
              <a:extLst>
                <a:ext uri="{63B3BB69-23CF-44E3-9099-C40C66FF867C}">
                  <a14:compatExt spid="_x0000_s77830"/>
                </a:ext>
                <a:ext uri="{FF2B5EF4-FFF2-40B4-BE49-F238E27FC236}">
                  <a16:creationId xmlns:a16="http://schemas.microsoft.com/office/drawing/2014/main" id="{00000000-0008-0000-0700-000006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19</xdr:col>
      <xdr:colOff>209550</xdr:colOff>
      <xdr:row>4</xdr:row>
      <xdr:rowOff>171450</xdr:rowOff>
    </xdr:from>
    <xdr:to>
      <xdr:col>20</xdr:col>
      <xdr:colOff>149860</xdr:colOff>
      <xdr:row>7</xdr:row>
      <xdr:rowOff>91440</xdr:rowOff>
    </xdr:to>
    <xdr:sp macro="" textlink="">
      <xdr:nvSpPr>
        <xdr:cNvPr id="2" name="OptionButton7" hidden="1">
          <a:extLst>
            <a:ext uri="{63B3BB69-23CF-44E3-9099-C40C66FF867C}">
              <a14:compatExt xmlns:a14="http://schemas.microsoft.com/office/drawing/2010/main" spid="_x0000_s26635"/>
            </a:ext>
            <a:ext uri="{FF2B5EF4-FFF2-40B4-BE49-F238E27FC236}">
              <a16:creationId xmlns:a16="http://schemas.microsoft.com/office/drawing/2014/main" id="{3E27BA25-81F8-48DE-97D9-002F4D5B7867}"/>
            </a:ext>
          </a:extLst>
        </xdr:cNvPr>
        <xdr:cNvSpPr/>
      </xdr:nvSpPr>
      <xdr:spPr bwMode="auto">
        <a:xfrm>
          <a:off x="8362950" y="971550"/>
          <a:ext cx="784860" cy="27241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7</xdr:row>
      <xdr:rowOff>85725</xdr:rowOff>
    </xdr:from>
    <xdr:to>
      <xdr:col>21</xdr:col>
      <xdr:colOff>302895</xdr:colOff>
      <xdr:row>9</xdr:row>
      <xdr:rowOff>150495</xdr:rowOff>
    </xdr:to>
    <xdr:sp macro="" textlink="">
      <xdr:nvSpPr>
        <xdr:cNvPr id="3" name="OptionButton8" hidden="1">
          <a:extLst>
            <a:ext uri="{63B3BB69-23CF-44E3-9099-C40C66FF867C}">
              <a14:compatExt xmlns:a14="http://schemas.microsoft.com/office/drawing/2010/main" spid="_x0000_s26636"/>
            </a:ext>
            <a:ext uri="{FF2B5EF4-FFF2-40B4-BE49-F238E27FC236}">
              <a16:creationId xmlns:a16="http://schemas.microsoft.com/office/drawing/2014/main" id="{712BC750-66F2-4806-B5DC-48C605D8B4F0}"/>
            </a:ext>
          </a:extLst>
        </xdr:cNvPr>
        <xdr:cNvSpPr/>
      </xdr:nvSpPr>
      <xdr:spPr bwMode="auto">
        <a:xfrm>
          <a:off x="8362950" y="1247775"/>
          <a:ext cx="1779270" cy="2933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36</xdr:row>
      <xdr:rowOff>190500</xdr:rowOff>
    </xdr:from>
    <xdr:to>
      <xdr:col>21</xdr:col>
      <xdr:colOff>302895</xdr:colOff>
      <xdr:row>39</xdr:row>
      <xdr:rowOff>91440</xdr:rowOff>
    </xdr:to>
    <xdr:sp macro="" textlink="">
      <xdr:nvSpPr>
        <xdr:cNvPr id="4" name="OptionButton9" hidden="1">
          <a:extLst>
            <a:ext uri="{63B3BB69-23CF-44E3-9099-C40C66FF867C}">
              <a14:compatExt xmlns:a14="http://schemas.microsoft.com/office/drawing/2010/main" spid="_x0000_s26637"/>
            </a:ext>
            <a:ext uri="{FF2B5EF4-FFF2-40B4-BE49-F238E27FC236}">
              <a16:creationId xmlns:a16="http://schemas.microsoft.com/office/drawing/2014/main" id="{F86F0D01-8C3C-4F7F-A2C1-19E08202AE6B}"/>
            </a:ext>
          </a:extLst>
        </xdr:cNvPr>
        <xdr:cNvSpPr/>
      </xdr:nvSpPr>
      <xdr:spPr bwMode="auto">
        <a:xfrm>
          <a:off x="8362950" y="5705475"/>
          <a:ext cx="1779270" cy="28194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19</xdr:col>
      <xdr:colOff>209550</xdr:colOff>
      <xdr:row>39</xdr:row>
      <xdr:rowOff>85725</xdr:rowOff>
    </xdr:from>
    <xdr:to>
      <xdr:col>21</xdr:col>
      <xdr:colOff>302895</xdr:colOff>
      <xdr:row>41</xdr:row>
      <xdr:rowOff>149860</xdr:rowOff>
    </xdr:to>
    <xdr:sp macro="" textlink="">
      <xdr:nvSpPr>
        <xdr:cNvPr id="5" name="OptionButton10" hidden="1">
          <a:extLst>
            <a:ext uri="{63B3BB69-23CF-44E3-9099-C40C66FF867C}">
              <a14:compatExt xmlns:a14="http://schemas.microsoft.com/office/drawing/2010/main" spid="_x0000_s26638"/>
            </a:ext>
            <a:ext uri="{FF2B5EF4-FFF2-40B4-BE49-F238E27FC236}">
              <a16:creationId xmlns:a16="http://schemas.microsoft.com/office/drawing/2014/main" id="{9982F20E-AE09-4923-ACD1-F9E0436A6396}"/>
            </a:ext>
          </a:extLst>
        </xdr:cNvPr>
        <xdr:cNvSpPr/>
      </xdr:nvSpPr>
      <xdr:spPr bwMode="auto">
        <a:xfrm>
          <a:off x="8362950" y="5991225"/>
          <a:ext cx="1779270" cy="29908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323850</xdr:colOff>
      <xdr:row>31</xdr:row>
      <xdr:rowOff>57150</xdr:rowOff>
    </xdr:from>
    <xdr:to>
      <xdr:col>12</xdr:col>
      <xdr:colOff>110490</xdr:colOff>
      <xdr:row>33</xdr:row>
      <xdr:rowOff>15240</xdr:rowOff>
    </xdr:to>
    <xdr:sp macro="" textlink="">
      <xdr:nvSpPr>
        <xdr:cNvPr id="38918" name="CommandButton1" hidden="1">
          <a:extLst>
            <a:ext uri="{63B3BB69-23CF-44E3-9099-C40C66FF867C}">
              <a14:compatExt xmlns:a14="http://schemas.microsoft.com/office/drawing/2010/main" spid="_x0000_s38918"/>
            </a:ext>
            <a:ext uri="{FF2B5EF4-FFF2-40B4-BE49-F238E27FC236}">
              <a16:creationId xmlns:a16="http://schemas.microsoft.com/office/drawing/2014/main" id="{00000000-0008-0000-0700-0000069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16</xdr:col>
          <xdr:colOff>28575</xdr:colOff>
          <xdr:row>1</xdr:row>
          <xdr:rowOff>95250</xdr:rowOff>
        </xdr:from>
        <xdr:to>
          <xdr:col>18</xdr:col>
          <xdr:colOff>447675</xdr:colOff>
          <xdr:row>2</xdr:row>
          <xdr:rowOff>104775</xdr:rowOff>
        </xdr:to>
        <xdr:sp macro="" textlink="">
          <xdr:nvSpPr>
            <xdr:cNvPr id="38920" name="BackButton" hidden="1">
              <a:extLst>
                <a:ext uri="{63B3BB69-23CF-44E3-9099-C40C66FF867C}">
                  <a14:compatExt spid="_x0000_s38920"/>
                </a:ext>
                <a:ext uri="{FF2B5EF4-FFF2-40B4-BE49-F238E27FC236}">
                  <a16:creationId xmlns:a16="http://schemas.microsoft.com/office/drawing/2014/main" id="{00000000-0008-0000-0800-0000089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Back to Serviceability Calculator</a:t>
              </a:r>
            </a:p>
          </xdr:txBody>
        </xdr:sp>
        <xdr:clientData fPrintsWithSheet="0"/>
      </xdr:twoCellAnchor>
    </mc:Choice>
    <mc:Fallback/>
  </mc:AlternateContent>
  <xdr:twoCellAnchor editAs="oneCell">
    <xdr:from>
      <xdr:col>11</xdr:col>
      <xdr:colOff>323850</xdr:colOff>
      <xdr:row>31</xdr:row>
      <xdr:rowOff>57150</xdr:rowOff>
    </xdr:from>
    <xdr:to>
      <xdr:col>12</xdr:col>
      <xdr:colOff>110490</xdr:colOff>
      <xdr:row>33</xdr:row>
      <xdr:rowOff>15240</xdr:rowOff>
    </xdr:to>
    <xdr:pic macro="[0]!Sheet10.CommandButton1_Click">
      <xdr:nvPicPr>
        <xdr:cNvPr id="2" name="CommandButton1">
          <a:extLst>
            <a:ext uri="{FF2B5EF4-FFF2-40B4-BE49-F238E27FC236}">
              <a16:creationId xmlns:a16="http://schemas.microsoft.com/office/drawing/2014/main" id="{00000000-0008-0000-07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38700" y="5772150"/>
          <a:ext cx="704850" cy="3333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323850</xdr:colOff>
      <xdr:row>31</xdr:row>
      <xdr:rowOff>57150</xdr:rowOff>
    </xdr:from>
    <xdr:to>
      <xdr:col>12</xdr:col>
      <xdr:colOff>110490</xdr:colOff>
      <xdr:row>33</xdr:row>
      <xdr:rowOff>15240</xdr:rowOff>
    </xdr:to>
    <xdr:sp macro="" textlink="">
      <xdr:nvSpPr>
        <xdr:cNvPr id="2" name="CommandButton1" hidden="1">
          <a:extLst>
            <a:ext uri="{63B3BB69-23CF-44E3-9099-C40C66FF867C}">
              <a14:compatExt xmlns:a14="http://schemas.microsoft.com/office/drawing/2010/main" spid="_x0000_s38918"/>
            </a:ext>
            <a:ext uri="{FF2B5EF4-FFF2-40B4-BE49-F238E27FC236}">
              <a16:creationId xmlns:a16="http://schemas.microsoft.com/office/drawing/2014/main" id="{5DE5277A-669C-419D-A092-F6A3D6896065}"/>
            </a:ext>
          </a:extLst>
        </xdr:cNvPr>
        <xdr:cNvSpPr/>
      </xdr:nvSpPr>
      <xdr:spPr bwMode="auto">
        <a:xfrm>
          <a:off x="4851400" y="5772150"/>
          <a:ext cx="707390" cy="33909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16</xdr:col>
          <xdr:colOff>28575</xdr:colOff>
          <xdr:row>1</xdr:row>
          <xdr:rowOff>95250</xdr:rowOff>
        </xdr:from>
        <xdr:to>
          <xdr:col>18</xdr:col>
          <xdr:colOff>447675</xdr:colOff>
          <xdr:row>2</xdr:row>
          <xdr:rowOff>104775</xdr:rowOff>
        </xdr:to>
        <xdr:sp macro="" textlink="">
          <xdr:nvSpPr>
            <xdr:cNvPr id="97281" name="BackButtonSME" hidden="1">
              <a:extLst>
                <a:ext uri="{63B3BB69-23CF-44E3-9099-C40C66FF867C}">
                  <a14:compatExt spid="_x0000_s97281"/>
                </a:ext>
                <a:ext uri="{FF2B5EF4-FFF2-40B4-BE49-F238E27FC236}">
                  <a16:creationId xmlns:a16="http://schemas.microsoft.com/office/drawing/2014/main" id="{00000000-0008-0000-0900-0000017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800" b="1" i="0" u="none" strike="noStrike" baseline="0">
                  <a:solidFill>
                    <a:srgbClr val="000000"/>
                  </a:solidFill>
                  <a:latin typeface="Arial"/>
                  <a:cs typeface="Arial"/>
                </a:rPr>
                <a:t>Back to Serviceability Calculator</a:t>
              </a:r>
            </a:p>
          </xdr:txBody>
        </xdr:sp>
        <xdr:clientData fPrintsWithSheet="0"/>
      </xdr:twoCellAnchor>
    </mc:Choice>
    <mc:Fallback/>
  </mc:AlternateContent>
  <xdr:twoCellAnchor editAs="oneCell">
    <xdr:from>
      <xdr:col>11</xdr:col>
      <xdr:colOff>323850</xdr:colOff>
      <xdr:row>31</xdr:row>
      <xdr:rowOff>57150</xdr:rowOff>
    </xdr:from>
    <xdr:to>
      <xdr:col>12</xdr:col>
      <xdr:colOff>110490</xdr:colOff>
      <xdr:row>33</xdr:row>
      <xdr:rowOff>15240</xdr:rowOff>
    </xdr:to>
    <xdr:pic macro="[0]!Sheet19.CommandButton1_Click">
      <xdr:nvPicPr>
        <xdr:cNvPr id="3" name="CommandButton1">
          <a:extLst>
            <a:ext uri="{FF2B5EF4-FFF2-40B4-BE49-F238E27FC236}">
              <a16:creationId xmlns:a16="http://schemas.microsoft.com/office/drawing/2014/main" id="{2F82C1D8-6334-44A1-B231-18827D8046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1400" y="5772150"/>
          <a:ext cx="707390" cy="33909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52733</xdr:colOff>
      <xdr:row>0</xdr:row>
      <xdr:rowOff>84621</xdr:rowOff>
    </xdr:from>
    <xdr:to>
      <xdr:col>2</xdr:col>
      <xdr:colOff>1379693</xdr:colOff>
      <xdr:row>3</xdr:row>
      <xdr:rowOff>154999</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1278559" y="84621"/>
          <a:ext cx="1326960" cy="641878"/>
        </a:xfrm>
        <a:prstGeom prst="rect">
          <a:avLst/>
        </a:prstGeom>
      </xdr:spPr>
    </xdr:pic>
    <xdr:clientData/>
  </xdr:twoCellAnchor>
  <xdr:twoCellAnchor editAs="oneCell">
    <xdr:from>
      <xdr:col>7</xdr:col>
      <xdr:colOff>123825</xdr:colOff>
      <xdr:row>20</xdr:row>
      <xdr:rowOff>76200</xdr:rowOff>
    </xdr:from>
    <xdr:to>
      <xdr:col>8</xdr:col>
      <xdr:colOff>533400</xdr:colOff>
      <xdr:row>23</xdr:row>
      <xdr:rowOff>38100</xdr:rowOff>
    </xdr:to>
    <xdr:sp macro="" textlink="">
      <xdr:nvSpPr>
        <xdr:cNvPr id="50185" name="ToggleButton1" hidden="1">
          <a:extLst>
            <a:ext uri="{63B3BB69-23CF-44E3-9099-C40C66FF867C}">
              <a14:compatExt xmlns:a14="http://schemas.microsoft.com/office/drawing/2010/main" spid="_x0000_s50185"/>
            </a:ext>
            <a:ext uri="{FF2B5EF4-FFF2-40B4-BE49-F238E27FC236}">
              <a16:creationId xmlns:a16="http://schemas.microsoft.com/office/drawing/2014/main" id="{00000000-0008-0000-0800-000009C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wsDr>
</file>

<file path=xl/drawings/drawing10.xml><?xml version="1.0" encoding="utf-8"?>
<xdr:wsDr xmlns:xdr="http://schemas.openxmlformats.org/drawingml/2006/spreadsheetDrawing" xmlns:a="http://schemas.openxmlformats.org/drawingml/2006/main">
  <xdr:twoCellAnchor>
    <xdr:from>
      <xdr:col>2</xdr:col>
      <xdr:colOff>331278</xdr:colOff>
      <xdr:row>0</xdr:row>
      <xdr:rowOff>134231</xdr:rowOff>
    </xdr:from>
    <xdr:to>
      <xdr:col>6</xdr:col>
      <xdr:colOff>599687</xdr:colOff>
      <xdr:row>1</xdr:row>
      <xdr:rowOff>49696</xdr:rowOff>
    </xdr:to>
    <xdr:sp macro="" textlink="">
      <xdr:nvSpPr>
        <xdr:cNvPr id="2" name="TextBox 1">
          <a:extLst>
            <a:ext uri="{FF2B5EF4-FFF2-40B4-BE49-F238E27FC236}">
              <a16:creationId xmlns:a16="http://schemas.microsoft.com/office/drawing/2014/main" id="{00000000-0008-0000-0900-000002000000}"/>
            </a:ext>
          </a:extLst>
        </xdr:cNvPr>
        <xdr:cNvSpPr txBox="1"/>
      </xdr:nvSpPr>
      <xdr:spPr>
        <a:xfrm>
          <a:off x="1855278" y="134231"/>
          <a:ext cx="3680844" cy="10087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2400" b="1">
              <a:solidFill>
                <a:sysClr val="windowText" lastClr="000000"/>
              </a:solidFill>
              <a:latin typeface="+mj-lt"/>
            </a:rPr>
            <a:t>Year</a:t>
          </a:r>
          <a:r>
            <a:rPr lang="en-AU" sz="2400" b="1" baseline="0">
              <a:solidFill>
                <a:sysClr val="windowText" lastClr="000000"/>
              </a:solidFill>
              <a:latin typeface="+mj-lt"/>
            </a:rPr>
            <a:t> to Date </a:t>
          </a:r>
          <a:br>
            <a:rPr lang="en-AU" sz="2400" b="1" baseline="0">
              <a:solidFill>
                <a:sysClr val="windowText" lastClr="000000"/>
              </a:solidFill>
              <a:latin typeface="+mj-lt"/>
            </a:rPr>
          </a:br>
          <a:r>
            <a:rPr lang="en-AU" sz="2400" b="1" baseline="0">
              <a:solidFill>
                <a:sysClr val="windowText" lastClr="000000"/>
              </a:solidFill>
              <a:latin typeface="+mj-lt"/>
            </a:rPr>
            <a:t>Income Calculator</a:t>
          </a:r>
          <a:endParaRPr lang="en-AU" sz="24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absolute">
        <xdr:from>
          <xdr:col>6</xdr:col>
          <xdr:colOff>476250</xdr:colOff>
          <xdr:row>0</xdr:row>
          <xdr:rowOff>171450</xdr:rowOff>
        </xdr:from>
        <xdr:to>
          <xdr:col>7</xdr:col>
          <xdr:colOff>1304925</xdr:colOff>
          <xdr:row>0</xdr:row>
          <xdr:rowOff>657225</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B00-0000052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en-MY" sz="1200" b="1" i="0" u="none" strike="noStrike" baseline="0">
                  <a:solidFill>
                    <a:srgbClr val="000000"/>
                  </a:solidFill>
                  <a:latin typeface="Arial Black"/>
                </a:rPr>
                <a:t>Clear All</a:t>
              </a:r>
            </a:p>
          </xdr:txBody>
        </xdr:sp>
        <xdr:clientData fLocksWithSheet="0" fPrintsWithSheet="0"/>
      </xdr:twoCellAnchor>
    </mc:Choice>
    <mc:Fallback/>
  </mc:AlternateContent>
  <xdr:twoCellAnchor editAs="oneCell">
    <xdr:from>
      <xdr:col>0</xdr:col>
      <xdr:colOff>173935</xdr:colOff>
      <xdr:row>0</xdr:row>
      <xdr:rowOff>0</xdr:rowOff>
    </xdr:from>
    <xdr:to>
      <xdr:col>2</xdr:col>
      <xdr:colOff>269489</xdr:colOff>
      <xdr:row>0</xdr:row>
      <xdr:rowOff>1083733</xdr:rowOff>
    </xdr:to>
    <xdr:pic>
      <xdr:nvPicPr>
        <xdr:cNvPr id="4" name="Logo">
          <a:extLst>
            <a:ext uri="{FF2B5EF4-FFF2-40B4-BE49-F238E27FC236}">
              <a16:creationId xmlns:a16="http://schemas.microsoft.com/office/drawing/2014/main" id="{BA50064C-6AE2-4726-8467-829AADDE1F6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95" t="17290" r="8613" b="22067"/>
        <a:stretch/>
      </xdr:blipFill>
      <xdr:spPr>
        <a:xfrm>
          <a:off x="173935" y="0"/>
          <a:ext cx="1619554" cy="108373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1133475</xdr:colOff>
          <xdr:row>3</xdr:row>
          <xdr:rowOff>66675</xdr:rowOff>
        </xdr:from>
        <xdr:to>
          <xdr:col>4</xdr:col>
          <xdr:colOff>152400</xdr:colOff>
          <xdr:row>5</xdr:row>
          <xdr:rowOff>123825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MY" sz="1000" b="0" i="0" u="none" strike="noStrike" baseline="0">
                  <a:solidFill>
                    <a:srgbClr val="FF0000"/>
                  </a:solidFill>
                  <a:latin typeface="Arial"/>
                  <a:cs typeface="Arial"/>
                </a:rPr>
                <a:t>Reset</a:t>
              </a:r>
            </a:p>
          </xdr:txBody>
        </xdr:sp>
        <xdr:clientData fLocksWithSheet="0" fPrintsWithSheet="0"/>
      </xdr:twoCellAnchor>
    </mc:Choice>
    <mc:Fallback/>
  </mc:AlternateContent>
  <xdr:twoCellAnchor editAs="oneCell">
    <xdr:from>
      <xdr:col>0</xdr:col>
      <xdr:colOff>0</xdr:colOff>
      <xdr:row>1</xdr:row>
      <xdr:rowOff>0</xdr:rowOff>
    </xdr:from>
    <xdr:to>
      <xdr:col>0</xdr:col>
      <xdr:colOff>1619554</xdr:colOff>
      <xdr:row>5</xdr:row>
      <xdr:rowOff>150283</xdr:rowOff>
    </xdr:to>
    <xdr:pic>
      <xdr:nvPicPr>
        <xdr:cNvPr id="3" name="Logo">
          <a:extLst>
            <a:ext uri="{FF2B5EF4-FFF2-40B4-BE49-F238E27FC236}">
              <a16:creationId xmlns:a16="http://schemas.microsoft.com/office/drawing/2014/main" id="{CD118D2D-92ED-484A-A817-5F4A4C0C3EF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95" t="17290" r="8613" b="22067"/>
        <a:stretch/>
      </xdr:blipFill>
      <xdr:spPr>
        <a:xfrm>
          <a:off x="0" y="200025"/>
          <a:ext cx="1619554" cy="108373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133350</xdr:colOff>
          <xdr:row>3</xdr:row>
          <xdr:rowOff>57150</xdr:rowOff>
        </xdr:from>
        <xdr:to>
          <xdr:col>5</xdr:col>
          <xdr:colOff>1095375</xdr:colOff>
          <xdr:row>4</xdr:row>
          <xdr:rowOff>285750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E00-0000012C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en-MY" sz="1200" b="1" i="0" u="none" strike="noStrike" baseline="0">
                  <a:solidFill>
                    <a:srgbClr val="000000"/>
                  </a:solidFill>
                  <a:latin typeface="Arial Black"/>
                </a:rPr>
                <a:t>Clear All</a:t>
              </a:r>
            </a:p>
          </xdr:txBody>
        </xdr:sp>
        <xdr:clientData fLocksWithSheet="0" fPrintsWithSheet="0"/>
      </xdr:twoCellAnchor>
    </mc:Choice>
    <mc:Fallback/>
  </mc:AlternateContent>
  <xdr:twoCellAnchor editAs="oneCell">
    <xdr:from>
      <xdr:col>1</xdr:col>
      <xdr:colOff>0</xdr:colOff>
      <xdr:row>1</xdr:row>
      <xdr:rowOff>113617</xdr:rowOff>
    </xdr:from>
    <xdr:to>
      <xdr:col>3</xdr:col>
      <xdr:colOff>6927</xdr:colOff>
      <xdr:row>4</xdr:row>
      <xdr:rowOff>305483</xdr:rowOff>
    </xdr:to>
    <xdr:pic>
      <xdr:nvPicPr>
        <xdr:cNvPr id="10" name="Logo">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6136" y="304117"/>
          <a:ext cx="2041814" cy="76336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485775</xdr:colOff>
          <xdr:row>5</xdr:row>
          <xdr:rowOff>57150</xdr:rowOff>
        </xdr:from>
        <xdr:to>
          <xdr:col>10</xdr:col>
          <xdr:colOff>323850</xdr:colOff>
          <xdr:row>7</xdr:row>
          <xdr:rowOff>57150</xdr:rowOff>
        </xdr:to>
        <xdr:sp macro="" textlink="">
          <xdr:nvSpPr>
            <xdr:cNvPr id="64513" name="CMD_ResetCalc" hidden="1">
              <a:extLst>
                <a:ext uri="{63B3BB69-23CF-44E3-9099-C40C66FF867C}">
                  <a14:compatExt spid="_x0000_s64513"/>
                </a:ext>
                <a:ext uri="{FF2B5EF4-FFF2-40B4-BE49-F238E27FC236}">
                  <a16:creationId xmlns:a16="http://schemas.microsoft.com/office/drawing/2014/main" id="{00000000-0008-0000-0F00-000001F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7</xdr:row>
          <xdr:rowOff>85725</xdr:rowOff>
        </xdr:from>
        <xdr:to>
          <xdr:col>10</xdr:col>
          <xdr:colOff>285750</xdr:colOff>
          <xdr:row>9</xdr:row>
          <xdr:rowOff>152400</xdr:rowOff>
        </xdr:to>
        <xdr:sp macro="" textlink="">
          <xdr:nvSpPr>
            <xdr:cNvPr id="64514" name="CMD_PrintCalc" hidden="1">
              <a:extLst>
                <a:ext uri="{63B3BB69-23CF-44E3-9099-C40C66FF867C}">
                  <a14:compatExt spid="_x0000_s64514"/>
                </a:ext>
                <a:ext uri="{FF2B5EF4-FFF2-40B4-BE49-F238E27FC236}">
                  <a16:creationId xmlns:a16="http://schemas.microsoft.com/office/drawing/2014/main" id="{00000000-0008-0000-0F00-000002F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127001</xdr:colOff>
      <xdr:row>0</xdr:row>
      <xdr:rowOff>0</xdr:rowOff>
    </xdr:from>
    <xdr:to>
      <xdr:col>1</xdr:col>
      <xdr:colOff>1373492</xdr:colOff>
      <xdr:row>4</xdr:row>
      <xdr:rowOff>321733</xdr:rowOff>
    </xdr:to>
    <xdr:pic>
      <xdr:nvPicPr>
        <xdr:cNvPr id="2" name="Logo">
          <a:extLst>
            <a:ext uri="{FF2B5EF4-FFF2-40B4-BE49-F238E27FC236}">
              <a16:creationId xmlns:a16="http://schemas.microsoft.com/office/drawing/2014/main" id="{272E1360-6C15-47A6-AFF6-5F67137C7CE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95" t="17290" r="8613" b="22067"/>
        <a:stretch/>
      </xdr:blipFill>
      <xdr:spPr>
        <a:xfrm>
          <a:off x="127001" y="0"/>
          <a:ext cx="1619554" cy="10837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B773645F-4316-4277-993D-E6E5EE6DF36D}" autoFormatId="16" applyNumberFormats="0" applyBorderFormats="0" applyFontFormats="0" applyPatternFormats="0" applyAlignmentFormats="0" applyWidthHeightFormats="0">
  <queryTableRefresh nextId="5">
    <queryTableFields count="4">
      <queryTableField id="1" name="Currency code ▲▼" tableColumnId="1"/>
      <queryTableField id="2" name="Currency name ▲▼" tableColumnId="2"/>
      <queryTableField id="3" name="Units per AUD" tableColumnId="3"/>
      <queryTableField id="4" name="AUD per Unit"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01AD05A-5AC4-4B0E-9B01-9A4D8DE6C38A}" name="Live_Currency_Rates" displayName="Live_Currency_Rates" ref="A1:D168" tableType="queryTable" totalsRowShown="0">
  <autoFilter ref="A1:D168" xr:uid="{B5E2B364-2AED-449F-96EF-39F71E43D56D}"/>
  <tableColumns count="4">
    <tableColumn id="1" xr3:uid="{FC31BCCD-34CA-4A35-A020-7953EF579EC3}" uniqueName="1" name="Currency code ▲▼" queryTableFieldId="1" dataDxfId="1"/>
    <tableColumn id="2" xr3:uid="{CF9B0EE9-EC63-4CF9-97D6-912A89B6A26B}" uniqueName="2" name="Currency name ▲▼" queryTableFieldId="2" dataDxfId="0"/>
    <tableColumn id="3" xr3:uid="{34B1AA88-5B1D-4890-86E2-06AC05B063D9}" uniqueName="3" name="Units per AUD" queryTableFieldId="3"/>
    <tableColumn id="4" xr3:uid="{923B7E0E-A910-484E-BA53-2398BD03F193}" uniqueName="4" name="AUD per Unit" queryTableFieldId="4"/>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0.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9.xml"/><Relationship Id="rId5" Type="http://schemas.openxmlformats.org/officeDocument/2006/relationships/image" Target="../media/image4.emf"/><Relationship Id="rId4" Type="http://schemas.openxmlformats.org/officeDocument/2006/relationships/control" Target="../activeX/activeX1.xml"/></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5.vml"/><Relationship Id="rId7" Type="http://schemas.openxmlformats.org/officeDocument/2006/relationships/ctrlProp" Target="../ctrlProps/ctrlProp14.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6.vml"/><Relationship Id="rId7" Type="http://schemas.openxmlformats.org/officeDocument/2006/relationships/ctrlProp" Target="../ctrlProps/ctrlProp20.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trlProp" Target="../ctrlProps/ctrlProp2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trlProp" Target="../ctrlProps/ctrlProp24.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9.bin"/><Relationship Id="rId5" Type="http://schemas.openxmlformats.org/officeDocument/2006/relationships/comments" Target="../comments2.xml"/><Relationship Id="rId4" Type="http://schemas.openxmlformats.org/officeDocument/2006/relationships/ctrlProp" Target="../ctrlProps/ctrlProp25.xml"/></Relationships>
</file>

<file path=xl/worksheets/_rels/sheet13.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10.vml"/><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0.bin"/><Relationship Id="rId4"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image" Target="../media/image9.emf"/><Relationship Id="rId2" Type="http://schemas.openxmlformats.org/officeDocument/2006/relationships/drawing" Target="../drawings/drawing13.xml"/><Relationship Id="rId1" Type="http://schemas.openxmlformats.org/officeDocument/2006/relationships/printerSettings" Target="../printerSettings/printerSettings11.bin"/><Relationship Id="rId6" Type="http://schemas.openxmlformats.org/officeDocument/2006/relationships/control" Target="../activeX/activeX3.xml"/><Relationship Id="rId5" Type="http://schemas.openxmlformats.org/officeDocument/2006/relationships/image" Target="../media/image8.emf"/><Relationship Id="rId4" Type="http://schemas.openxmlformats.org/officeDocument/2006/relationships/control" Target="../activeX/activeX2.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C59BC-62B4-4B23-BE2E-EC4EEC744436}">
  <sheetPr codeName="Sheet12"/>
  <dimension ref="A1"/>
  <sheetViews>
    <sheetView workbookViewId="0">
      <selection activeCell="E32" sqref="E32"/>
    </sheetView>
  </sheetViews>
  <sheetFormatPr defaultRowHeight="15"/>
  <sheetData/>
  <sheetProtection algorithmName="SHA-512" hashValue="EK2XPd6oaO6RDrpDhcvjzJc+zdXkj9s2fAJEDCNKoacKpvZAjOa6Lh9g4eo823xiuwRVl55Wn/KKsCk6UcwlGw==" saltValue="Heu/PiqhyQ9cG2cS5Ek/Ww==" spinCount="100000" sheet="1" objects="1" scenarios="1"/>
  <phoneticPr fontId="9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E0DB3-02F3-45D9-822C-85DB2CC7819D}">
  <sheetPr codeName="Sheet13"/>
  <dimension ref="A1"/>
  <sheetViews>
    <sheetView workbookViewId="0">
      <selection activeCell="D34" sqref="D34"/>
    </sheetView>
  </sheetViews>
  <sheetFormatPr defaultRowHeight="15"/>
  <sheetData/>
  <sheetProtection algorithmName="SHA-512" hashValue="qWtWYKsKfydiTH5Zp3jo/J2PPZBmI4ivoOulgLfkIX/iOh8X8StX8h92kpu/d+will0XXrlYqGvVgEWtxq8CbA==" saltValue="3B2pgPC4d6kaWxS9QkbbDw==" spinCount="100000" sheet="1" objects="1" scenarios="1"/>
  <phoneticPr fontId="95"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F26B7-CFF8-45DD-9B69-B3755421DA61}">
  <sheetPr codeName="Sheet24">
    <pageSetUpPr fitToPage="1"/>
  </sheetPr>
  <dimension ref="C1:V124"/>
  <sheetViews>
    <sheetView topLeftCell="A8" zoomScale="112" zoomScaleNormal="112" workbookViewId="0">
      <selection activeCell="C4" sqref="C4"/>
    </sheetView>
  </sheetViews>
  <sheetFormatPr defaultColWidth="11.42578125" defaultRowHeight="12.75"/>
  <cols>
    <col min="1" max="1" width="6.42578125" style="256" customWidth="1"/>
    <col min="2" max="2" width="4.7109375" style="256" customWidth="1"/>
    <col min="3" max="3" width="43.42578125" style="256" customWidth="1"/>
    <col min="4" max="4" width="25.5703125" style="256" customWidth="1"/>
    <col min="5" max="5" width="26" style="256" customWidth="1"/>
    <col min="6" max="7" width="27" style="256" customWidth="1"/>
    <col min="8" max="9" width="27" style="256" hidden="1" customWidth="1"/>
    <col min="10" max="10" width="14.28515625" style="256" customWidth="1"/>
    <col min="11" max="11" width="11.42578125" style="256" customWidth="1"/>
    <col min="12" max="12" width="28.140625" style="256" hidden="1" customWidth="1"/>
    <col min="13" max="13" width="25.7109375" style="256" hidden="1" customWidth="1"/>
    <col min="14" max="14" width="32.7109375" style="256" hidden="1" customWidth="1"/>
    <col min="15" max="15" width="16.28515625" style="256" hidden="1" customWidth="1"/>
    <col min="16" max="16" width="11.42578125" style="256" hidden="1" customWidth="1"/>
    <col min="17" max="17" width="35" style="256" hidden="1" customWidth="1"/>
    <col min="18" max="19" width="25.42578125" style="256" hidden="1" customWidth="1"/>
    <col min="20" max="22" width="11.42578125" style="256" hidden="1" customWidth="1"/>
    <col min="23" max="29" width="11.42578125" style="256" customWidth="1"/>
    <col min="30" max="16384" width="11.42578125" style="256"/>
  </cols>
  <sheetData>
    <row r="1" spans="3:21" ht="85.5" customHeight="1">
      <c r="C1" s="275"/>
      <c r="E1" s="275"/>
      <c r="F1" s="276"/>
      <c r="G1" s="276"/>
      <c r="L1" s="277"/>
      <c r="M1" s="277"/>
      <c r="N1" s="277"/>
      <c r="Q1" s="275"/>
      <c r="R1" s="278"/>
      <c r="S1" s="278"/>
    </row>
    <row r="2" spans="3:21" ht="18" customHeight="1">
      <c r="C2" s="16" t="s">
        <v>1048</v>
      </c>
      <c r="E2" s="279"/>
      <c r="G2" s="688" t="s">
        <v>968</v>
      </c>
      <c r="L2" s="277"/>
      <c r="M2" s="277"/>
      <c r="N2" s="277"/>
      <c r="Q2" s="279"/>
      <c r="R2" s="280" t="s">
        <v>288</v>
      </c>
      <c r="S2" s="280"/>
      <c r="U2" s="394"/>
    </row>
    <row r="3" spans="3:21" ht="15">
      <c r="C3" s="476">
        <f ca="1">TODAY()</f>
        <v>45576</v>
      </c>
      <c r="G3" s="477"/>
      <c r="L3" s="281"/>
      <c r="M3" s="249"/>
      <c r="N3" s="249"/>
      <c r="O3" s="279"/>
    </row>
    <row r="4" spans="3:21" ht="15">
      <c r="C4" s="689" t="s">
        <v>269</v>
      </c>
      <c r="D4" s="690" t="s">
        <v>268</v>
      </c>
      <c r="E4" s="690" t="s">
        <v>267</v>
      </c>
      <c r="F4" s="688" t="s">
        <v>266</v>
      </c>
      <c r="G4" s="688" t="s">
        <v>965</v>
      </c>
      <c r="H4" s="688" t="s">
        <v>966</v>
      </c>
      <c r="I4" s="688" t="s">
        <v>967</v>
      </c>
      <c r="L4" s="281"/>
      <c r="M4" s="249"/>
      <c r="N4" s="249"/>
      <c r="O4" s="279"/>
      <c r="Q4" s="239"/>
      <c r="R4" s="283"/>
      <c r="S4" s="283"/>
    </row>
    <row r="5" spans="3:21" ht="15">
      <c r="C5" s="544" t="s">
        <v>289</v>
      </c>
      <c r="D5" s="151"/>
      <c r="E5" s="151"/>
      <c r="F5" s="151"/>
      <c r="G5" s="151"/>
      <c r="H5" s="151"/>
      <c r="I5" s="151"/>
      <c r="L5" s="281"/>
      <c r="M5" s="249"/>
      <c r="N5" s="249"/>
      <c r="O5" s="279"/>
      <c r="Q5" s="209"/>
      <c r="R5" s="205"/>
      <c r="S5" s="285"/>
    </row>
    <row r="6" spans="3:21" ht="15">
      <c r="C6" s="544" t="s">
        <v>265</v>
      </c>
      <c r="D6" s="545" t="str">
        <f t="shared" ref="D6:I6" si="0">IF(D8=0,"",IF(D8&gt;D9,"Principal &amp; Interest","Interest Only"))</f>
        <v/>
      </c>
      <c r="E6" s="545" t="str">
        <f t="shared" si="0"/>
        <v/>
      </c>
      <c r="F6" s="545" t="str">
        <f t="shared" si="0"/>
        <v/>
      </c>
      <c r="G6" s="545" t="str">
        <f t="shared" si="0"/>
        <v/>
      </c>
      <c r="H6" s="545" t="str">
        <f t="shared" si="0"/>
        <v/>
      </c>
      <c r="I6" s="545" t="str">
        <f t="shared" si="0"/>
        <v/>
      </c>
      <c r="L6" s="281"/>
      <c r="M6" s="249"/>
      <c r="N6" s="249"/>
      <c r="O6" s="279"/>
      <c r="Q6" s="219"/>
      <c r="R6" s="287"/>
      <c r="S6" s="287"/>
    </row>
    <row r="7" spans="3:21" ht="15">
      <c r="C7" s="544" t="s">
        <v>262</v>
      </c>
      <c r="D7" s="160"/>
      <c r="E7" s="160"/>
      <c r="F7" s="160"/>
      <c r="G7" s="160"/>
      <c r="H7" s="160"/>
      <c r="I7" s="160"/>
      <c r="L7" s="281"/>
      <c r="M7" s="249"/>
      <c r="N7" s="249"/>
      <c r="O7" s="279"/>
      <c r="Q7" s="209"/>
      <c r="R7" s="205"/>
      <c r="S7" s="285"/>
    </row>
    <row r="8" spans="3:21" ht="15">
      <c r="C8" s="544" t="s">
        <v>264</v>
      </c>
      <c r="D8" s="152"/>
      <c r="E8" s="152"/>
      <c r="F8" s="152"/>
      <c r="G8" s="152"/>
      <c r="H8" s="152"/>
      <c r="I8" s="152"/>
      <c r="L8" s="281"/>
      <c r="M8" s="249"/>
      <c r="N8" s="249"/>
      <c r="O8" s="279"/>
      <c r="Q8" s="219"/>
      <c r="R8" s="205"/>
      <c r="S8" s="287"/>
    </row>
    <row r="9" spans="3:21" ht="15">
      <c r="C9" s="544" t="s">
        <v>263</v>
      </c>
      <c r="D9" s="152"/>
      <c r="E9" s="152"/>
      <c r="F9" s="152"/>
      <c r="G9" s="152"/>
      <c r="H9" s="152"/>
      <c r="I9" s="152"/>
      <c r="L9" s="281"/>
      <c r="M9" s="249"/>
      <c r="N9" s="249"/>
      <c r="O9" s="279"/>
      <c r="Q9" s="209"/>
      <c r="R9" s="205"/>
      <c r="S9" s="196"/>
    </row>
    <row r="10" spans="3:21" ht="15">
      <c r="C10" s="544" t="s">
        <v>261</v>
      </c>
      <c r="D10" s="395"/>
      <c r="E10" s="395"/>
      <c r="F10" s="395"/>
      <c r="G10" s="395"/>
      <c r="H10" s="395"/>
      <c r="I10" s="395"/>
      <c r="L10" s="281"/>
      <c r="M10" s="249"/>
      <c r="N10" s="290"/>
      <c r="O10" s="279"/>
      <c r="Q10" s="209"/>
      <c r="R10" s="205"/>
      <c r="S10" s="291"/>
    </row>
    <row r="11" spans="3:21" ht="15">
      <c r="C11" s="544" t="s">
        <v>791</v>
      </c>
      <c r="D11" s="546">
        <f t="shared" ref="D11:I11" si="1">D7*D10/12</f>
        <v>0</v>
      </c>
      <c r="E11" s="546">
        <f t="shared" si="1"/>
        <v>0</v>
      </c>
      <c r="F11" s="546">
        <f t="shared" si="1"/>
        <v>0</v>
      </c>
      <c r="G11" s="546">
        <f t="shared" si="1"/>
        <v>0</v>
      </c>
      <c r="H11" s="546">
        <f t="shared" si="1"/>
        <v>0</v>
      </c>
      <c r="I11" s="546">
        <f t="shared" si="1"/>
        <v>0</v>
      </c>
      <c r="L11" s="281"/>
      <c r="M11" s="249"/>
      <c r="N11" s="290"/>
      <c r="O11" s="279"/>
      <c r="Q11" s="209"/>
      <c r="R11" s="205"/>
      <c r="S11" s="291"/>
    </row>
    <row r="12" spans="3:21" ht="15">
      <c r="C12" s="544" t="s">
        <v>260</v>
      </c>
      <c r="D12" s="547">
        <f t="shared" ref="D12:I12" si="2">IFERROR(IF(D$6="",0,(IF(D$6="Principal &amp; Interest",-PMT(D$10/12,(D$8-D$9)*12,D$7,0,0),((D$7*D$10)/12)))),0)</f>
        <v>0</v>
      </c>
      <c r="E12" s="547">
        <f t="shared" si="2"/>
        <v>0</v>
      </c>
      <c r="F12" s="547">
        <f t="shared" si="2"/>
        <v>0</v>
      </c>
      <c r="G12" s="547">
        <f t="shared" si="2"/>
        <v>0</v>
      </c>
      <c r="H12" s="547">
        <f t="shared" si="2"/>
        <v>0</v>
      </c>
      <c r="I12" s="547">
        <f t="shared" si="2"/>
        <v>0</v>
      </c>
      <c r="J12" s="548">
        <f>SUM(D12:I12)</f>
        <v>0</v>
      </c>
      <c r="L12" s="281"/>
      <c r="M12" s="249"/>
      <c r="N12" s="290"/>
      <c r="O12" s="279"/>
      <c r="Q12" s="209"/>
      <c r="R12" s="205"/>
      <c r="S12" s="196"/>
    </row>
    <row r="13" spans="3:21" ht="14.25" customHeight="1">
      <c r="C13" s="544" t="s">
        <v>853</v>
      </c>
      <c r="D13" s="549">
        <f>IF(D10+RepayCalculator!$B$5&gt;RepayCalculator!$B$8,D10+RepayCalculator!$B$5,RepayCalculator!$B$8)</f>
        <v>5.2900000000000003E-2</v>
      </c>
      <c r="E13" s="549">
        <f>IF(E10+RepayCalculator!$B$5&gt;RepayCalculator!$B$8,E10+RepayCalculator!$B$5,RepayCalculator!$B$8)</f>
        <v>5.2900000000000003E-2</v>
      </c>
      <c r="F13" s="549">
        <f>IF(F10+RepayCalculator!$B$5&gt;RepayCalculator!$B$8,F10+RepayCalculator!$B$5,RepayCalculator!$B$8)</f>
        <v>5.2900000000000003E-2</v>
      </c>
      <c r="G13" s="549">
        <f>IF(G10+RepayCalculator!$B$5&gt;RepayCalculator!$B$8,G10+RepayCalculator!$B$5,RepayCalculator!$B$8)</f>
        <v>5.2900000000000003E-2</v>
      </c>
      <c r="H13" s="549">
        <f>IF(H10+RepayCalculator!$B$5&gt;RepayCalculator!$B$8,H10+RepayCalculator!$B$5,RepayCalculator!$B$8)</f>
        <v>5.2900000000000003E-2</v>
      </c>
      <c r="I13" s="549">
        <f>IF(I10+RepayCalculator!$B$5&gt;RepayCalculator!$B$8,I10+RepayCalculator!$B$5,RepayCalculator!$B$8)</f>
        <v>5.2900000000000003E-2</v>
      </c>
      <c r="J13" s="550">
        <f>J14-J12</f>
        <v>0</v>
      </c>
      <c r="L13" s="281"/>
      <c r="M13" s="249"/>
      <c r="N13" s="290"/>
      <c r="O13" s="279"/>
      <c r="Q13" s="292"/>
      <c r="R13" s="205"/>
      <c r="S13" s="293"/>
    </row>
    <row r="14" spans="3:21" ht="14.25" customHeight="1">
      <c r="C14" s="551" t="s">
        <v>259</v>
      </c>
      <c r="D14" s="552">
        <f t="shared" ref="D14:I14" si="3">IFERROR(IF(D$6="",0,(IF(D$6="Principal &amp; Interest",-PMT(D$13/12,(D$8-D$9)*12,D$7,0,0),((D$7*D$13)/12)))),0)</f>
        <v>0</v>
      </c>
      <c r="E14" s="552">
        <f t="shared" si="3"/>
        <v>0</v>
      </c>
      <c r="F14" s="552">
        <f t="shared" si="3"/>
        <v>0</v>
      </c>
      <c r="G14" s="552">
        <f t="shared" si="3"/>
        <v>0</v>
      </c>
      <c r="H14" s="552">
        <f t="shared" si="3"/>
        <v>0</v>
      </c>
      <c r="I14" s="552">
        <f t="shared" si="3"/>
        <v>0</v>
      </c>
      <c r="J14" s="553">
        <f>SUM(D14:I14)</f>
        <v>0</v>
      </c>
      <c r="L14" s="281"/>
      <c r="M14" s="249"/>
      <c r="N14" s="290"/>
      <c r="O14" s="279"/>
      <c r="Q14" s="292"/>
      <c r="R14" s="205"/>
      <c r="S14" s="293"/>
    </row>
    <row r="15" spans="3:21" ht="14.25" hidden="1" customHeight="1">
      <c r="C15" s="554" t="s">
        <v>854</v>
      </c>
      <c r="D15" s="555">
        <f>IF(D10+RepayCalculator!$B$5&gt;RepayCalculator!$B$8,D10+RepayCalculator!$B$5,RepayCalculator!$B$8)</f>
        <v>5.2900000000000003E-2</v>
      </c>
      <c r="E15" s="555">
        <f>IF(E10+RepayCalculator!$B$5&gt;RepayCalculator!$B$8,E10+RepayCalculator!$B$5,RepayCalculator!$B$8)</f>
        <v>5.2900000000000003E-2</v>
      </c>
      <c r="F15" s="555">
        <f>IF(F10+RepayCalculator!$B$5&gt;RepayCalculator!$B$8,F10+RepayCalculator!$B$5,RepayCalculator!$B$8)</f>
        <v>5.2900000000000003E-2</v>
      </c>
      <c r="G15" s="555">
        <f>IF(G10+RepayCalculator!$B$5&gt;RepayCalculator!$B$8,G10+RepayCalculator!$B$5,RepayCalculator!$B$8)</f>
        <v>5.2900000000000003E-2</v>
      </c>
      <c r="H15" s="555">
        <f>IF(H10+RepayCalculator!$B$5&gt;RepayCalculator!$B$8,H10+RepayCalculator!$B$5,RepayCalculator!$B$8)</f>
        <v>5.2900000000000003E-2</v>
      </c>
      <c r="I15" s="555">
        <f>IF(I10+RepayCalculator!$B$5&gt;RepayCalculator!$B$8,I10+RepayCalculator!$B$5,RepayCalculator!$B$8)</f>
        <v>5.2900000000000003E-2</v>
      </c>
      <c r="L15" s="281"/>
      <c r="M15" s="249"/>
      <c r="N15" s="290"/>
      <c r="O15" s="279"/>
      <c r="Q15" s="292"/>
      <c r="R15" s="205"/>
      <c r="S15" s="293"/>
    </row>
    <row r="16" spans="3:21" ht="14.25" hidden="1" customHeight="1">
      <c r="C16" s="556" t="s">
        <v>855</v>
      </c>
      <c r="D16" s="552">
        <f>D7*D15/12</f>
        <v>0</v>
      </c>
      <c r="E16" s="552">
        <f t="shared" ref="E16:I16" si="4">E7*E15/12</f>
        <v>0</v>
      </c>
      <c r="F16" s="552">
        <f t="shared" si="4"/>
        <v>0</v>
      </c>
      <c r="G16" s="552">
        <f t="shared" si="4"/>
        <v>0</v>
      </c>
      <c r="H16" s="552">
        <f t="shared" si="4"/>
        <v>0</v>
      </c>
      <c r="I16" s="552">
        <f t="shared" si="4"/>
        <v>0</v>
      </c>
      <c r="L16" s="281"/>
      <c r="M16" s="249"/>
      <c r="N16" s="249"/>
      <c r="O16" s="279"/>
      <c r="Q16" s="294"/>
      <c r="R16" s="205"/>
      <c r="S16" s="226"/>
    </row>
    <row r="17" spans="3:19" ht="12" customHeight="1">
      <c r="C17" s="209"/>
      <c r="E17" s="249"/>
      <c r="F17" s="249"/>
      <c r="G17" s="249"/>
      <c r="L17" s="281"/>
      <c r="M17" s="249"/>
      <c r="N17" s="249"/>
      <c r="O17" s="279"/>
      <c r="Q17" s="294"/>
      <c r="R17" s="205"/>
      <c r="S17" s="226"/>
    </row>
    <row r="18" spans="3:19" ht="12" customHeight="1">
      <c r="C18" s="209"/>
      <c r="E18" s="249"/>
      <c r="F18" s="249"/>
      <c r="G18" s="249"/>
      <c r="L18" s="281"/>
      <c r="M18" s="249"/>
      <c r="N18" s="249"/>
      <c r="O18" s="279"/>
      <c r="Q18" s="294"/>
      <c r="R18" s="205"/>
      <c r="S18" s="226"/>
    </row>
    <row r="19" spans="3:19" ht="15">
      <c r="C19" s="691" t="s">
        <v>98</v>
      </c>
      <c r="D19" s="688" t="s">
        <v>291</v>
      </c>
      <c r="E19" s="688" t="s">
        <v>287</v>
      </c>
      <c r="F19" s="688" t="s">
        <v>101</v>
      </c>
      <c r="G19" s="688" t="s">
        <v>105</v>
      </c>
      <c r="L19" s="281"/>
      <c r="M19" s="249"/>
      <c r="N19" s="249"/>
      <c r="O19" s="279"/>
      <c r="Q19" s="239"/>
      <c r="R19" s="283"/>
      <c r="S19" s="283"/>
    </row>
    <row r="20" spans="3:19" ht="15">
      <c r="C20" s="557" t="s">
        <v>92</v>
      </c>
      <c r="D20" s="378"/>
      <c r="E20" s="153"/>
      <c r="F20" s="153"/>
      <c r="G20" s="153"/>
      <c r="L20" s="281"/>
      <c r="M20" s="249"/>
      <c r="N20" s="766"/>
      <c r="O20" s="767"/>
      <c r="Q20" s="209"/>
      <c r="R20" s="296"/>
      <c r="S20" s="196"/>
    </row>
    <row r="21" spans="3:19" ht="15">
      <c r="C21" s="558" t="s">
        <v>90</v>
      </c>
      <c r="D21" s="378"/>
      <c r="E21" s="379"/>
      <c r="F21" s="379"/>
      <c r="G21" s="379"/>
      <c r="L21" s="281"/>
      <c r="M21" s="249"/>
      <c r="N21" s="767"/>
      <c r="O21" s="767"/>
      <c r="Q21" s="209"/>
      <c r="R21" s="296"/>
      <c r="S21" s="196"/>
    </row>
    <row r="22" spans="3:19" ht="15">
      <c r="C22" s="558" t="s">
        <v>89</v>
      </c>
      <c r="D22" s="378"/>
      <c r="E22" s="153"/>
      <c r="F22" s="153"/>
      <c r="G22" s="153"/>
      <c r="L22" s="281"/>
      <c r="M22" s="249"/>
      <c r="N22" s="767"/>
      <c r="O22" s="767"/>
      <c r="Q22" s="209"/>
      <c r="R22" s="296"/>
      <c r="S22" s="196"/>
    </row>
    <row r="23" spans="3:19" ht="15">
      <c r="C23" s="551" t="s">
        <v>88</v>
      </c>
      <c r="D23" s="378"/>
      <c r="E23" s="153"/>
      <c r="F23" s="153"/>
      <c r="G23" s="153"/>
      <c r="L23" s="281"/>
      <c r="M23" s="297"/>
      <c r="N23" s="767"/>
      <c r="O23" s="767"/>
      <c r="Q23" s="209"/>
      <c r="R23" s="296"/>
      <c r="S23" s="196"/>
    </row>
    <row r="24" spans="3:19" ht="12.75" hidden="1" customHeight="1">
      <c r="C24" s="209"/>
      <c r="E24" s="209"/>
      <c r="F24" s="200"/>
      <c r="G24" s="295"/>
      <c r="L24" s="281"/>
      <c r="M24" s="297"/>
      <c r="N24" s="767"/>
      <c r="O24" s="767"/>
      <c r="Q24" s="209"/>
      <c r="R24" s="196"/>
      <c r="S24" s="196"/>
    </row>
    <row r="25" spans="3:19" ht="12.75" hidden="1" customHeight="1">
      <c r="C25" s="237" t="s">
        <v>104</v>
      </c>
      <c r="E25" s="203" t="s">
        <v>101</v>
      </c>
      <c r="F25" s="203" t="s">
        <v>105</v>
      </c>
      <c r="G25" s="295"/>
      <c r="L25" s="203" t="s">
        <v>108</v>
      </c>
      <c r="M25" s="297"/>
      <c r="N25" s="767"/>
      <c r="O25" s="767"/>
      <c r="Q25" s="237"/>
      <c r="R25" s="196" t="s">
        <v>106</v>
      </c>
      <c r="S25" s="196" t="s">
        <v>107</v>
      </c>
    </row>
    <row r="26" spans="3:19" ht="12.75" hidden="1" customHeight="1">
      <c r="C26" s="194" t="s">
        <v>109</v>
      </c>
      <c r="E26" s="203" t="str">
        <f>_xlfn.IFNA(VLOOKUP(C26,$E$20:$F$23,2,FALSE),"N/A")</f>
        <v>N/A</v>
      </c>
      <c r="F26" s="203">
        <f>SUMIF($E$20:$E$23,C26,$G$20:$G$23)</f>
        <v>0</v>
      </c>
      <c r="G26" s="295"/>
      <c r="K26" s="256" t="str">
        <f ca="1">LOOKUP(S26,HEM!$C$9:$P$9,HEM!$C$7:$P$7)</f>
        <v>2</v>
      </c>
      <c r="L26" s="254">
        <f>_xlfn.IFNA(VLOOKUP(R26,HEM!$B$12:$P$34,K26,FALSE),0)*52/12</f>
        <v>0</v>
      </c>
      <c r="M26" s="297"/>
      <c r="N26" s="767"/>
      <c r="O26" s="767"/>
      <c r="Q26" s="194"/>
      <c r="R26" s="196" t="str">
        <f>E26&amp;" with "&amp;F26&amp;" children"</f>
        <v>N/A with 0 children</v>
      </c>
      <c r="S26" s="196">
        <f ca="1">SUMIF($Q$33:$Q$36,C26,$D$33:$D$36)+SUMIF($Q$40:$Q$43,C26,$S$40:$S$43)+SUMIF($Q$33:$Q$36,C26,$E$34:$E$36)</f>
        <v>0</v>
      </c>
    </row>
    <row r="27" spans="3:19" ht="12.75" hidden="1" customHeight="1">
      <c r="C27" s="194" t="s">
        <v>100</v>
      </c>
      <c r="E27" s="203" t="str">
        <f>_xlfn.IFNA(VLOOKUP(C27,$E$20:$F$23,2,FALSE),"N/A")</f>
        <v>N/A</v>
      </c>
      <c r="F27" s="203">
        <f>SUMIF($E$20:$E$23,C27,$G$20:$G$23)</f>
        <v>0</v>
      </c>
      <c r="G27" s="295"/>
      <c r="K27" s="256" t="str">
        <f ca="1">LOOKUP(S27,HEM!$C$9:$P$9,HEM!$C$7:$P$7)</f>
        <v>2</v>
      </c>
      <c r="L27" s="254">
        <f>_xlfn.IFNA(VLOOKUP(R27,HEM!$B$12:$P$34,K27,FALSE),0)*52/12</f>
        <v>0</v>
      </c>
      <c r="M27" s="297"/>
      <c r="N27" s="767"/>
      <c r="O27" s="767"/>
      <c r="Q27" s="194"/>
      <c r="R27" s="196" t="str">
        <f>E27&amp;" with "&amp;F27&amp;" children"</f>
        <v>N/A with 0 children</v>
      </c>
      <c r="S27" s="196">
        <f ca="1">SUMIF($Q$33:$Q$36,C27,$D$33:$D$36)+SUMIF($Q$40:$Q$43,C27,$S$40:$S$43)+SUMIF($Q$33:$Q$36,C27,$E$34:$E$36)</f>
        <v>0</v>
      </c>
    </row>
    <row r="28" spans="3:19" ht="12.75" hidden="1" customHeight="1">
      <c r="C28" s="194" t="s">
        <v>110</v>
      </c>
      <c r="E28" s="203" t="str">
        <f>_xlfn.IFNA(VLOOKUP(C28,$E$20:$F$23,2,FALSE),"N/A")</f>
        <v>N/A</v>
      </c>
      <c r="F28" s="203">
        <f>SUMIF($E$20:$E$23,C28,$G$20:$G$23)</f>
        <v>0</v>
      </c>
      <c r="G28" s="295"/>
      <c r="K28" s="256" t="str">
        <f ca="1">LOOKUP(S28,HEM!$C$9:$P$9,HEM!$C$7:$P$7)</f>
        <v>2</v>
      </c>
      <c r="L28" s="254">
        <f>_xlfn.IFNA(VLOOKUP(R28,HEM!$B$12:$P$34,K28,FALSE),0)*52/12</f>
        <v>0</v>
      </c>
      <c r="M28" s="297"/>
      <c r="N28" s="767"/>
      <c r="O28" s="767"/>
      <c r="Q28" s="194"/>
      <c r="R28" s="196" t="str">
        <f>E28&amp;" with "&amp;F28&amp;" children"</f>
        <v>N/A with 0 children</v>
      </c>
      <c r="S28" s="196">
        <f ca="1">SUMIF($Q$33:$Q$36,C28,$D$33:$D$36)+SUMIF($Q$40:$Q$43,C28,$S$40:$S$43)+SUMIF($Q$33:$Q$36,C28,$E$34:$E$36)</f>
        <v>0</v>
      </c>
    </row>
    <row r="29" spans="3:19" ht="12.75" hidden="1" customHeight="1">
      <c r="C29" s="194" t="s">
        <v>111</v>
      </c>
      <c r="E29" s="203" t="str">
        <f>_xlfn.IFNA(VLOOKUP(C29,$E$20:$F$23,2,FALSE),"N/A")</f>
        <v>N/A</v>
      </c>
      <c r="F29" s="203">
        <f>SUMIF($E$20:$E$23,C29,$G$20:$G$23)</f>
        <v>0</v>
      </c>
      <c r="G29" s="295"/>
      <c r="K29" s="256" t="str">
        <f ca="1">LOOKUP(S29,HEM!$C$9:$P$9,HEM!$C$7:$P$7)</f>
        <v>2</v>
      </c>
      <c r="L29" s="254">
        <f>_xlfn.IFNA(VLOOKUP(R29,HEM!$B$12:$P$34,K29,FALSE),0)*52/12</f>
        <v>0</v>
      </c>
      <c r="M29" s="297"/>
      <c r="N29" s="767"/>
      <c r="O29" s="767"/>
      <c r="Q29" s="194"/>
      <c r="R29" s="196" t="str">
        <f>E29&amp;" with "&amp;F29&amp;" children"</f>
        <v>N/A with 0 children</v>
      </c>
      <c r="S29" s="196">
        <f ca="1">SUMIF($Q$33:$Q$36,C29,$D$33:$D$36)+SUMIF($Q$40:$Q$43,C29,$S$40:$S$43)+SUMIF($Q$33:$Q$36,C29,$E$34:$E$36)</f>
        <v>0</v>
      </c>
    </row>
    <row r="30" spans="3:19" ht="12.75" hidden="1" customHeight="1">
      <c r="C30" s="237" t="s">
        <v>112</v>
      </c>
      <c r="E30" s="194"/>
      <c r="F30" s="203"/>
      <c r="G30" s="295"/>
      <c r="L30" s="298">
        <f>SUM(L26:L29)</f>
        <v>0</v>
      </c>
      <c r="M30" s="297"/>
      <c r="N30" s="767"/>
      <c r="O30" s="767"/>
      <c r="Q30" s="237"/>
      <c r="R30" s="203"/>
      <c r="S30" s="196"/>
    </row>
    <row r="31" spans="3:19" ht="12" customHeight="1">
      <c r="N31" s="767"/>
      <c r="O31" s="767"/>
      <c r="Q31" s="209"/>
      <c r="R31" s="196"/>
      <c r="S31" s="196"/>
    </row>
    <row r="32" spans="3:19" ht="17.25" customHeight="1">
      <c r="C32" s="692" t="s">
        <v>286</v>
      </c>
      <c r="D32" s="693" t="s">
        <v>64</v>
      </c>
      <c r="E32" s="693" t="s">
        <v>1051</v>
      </c>
      <c r="F32" s="693" t="s">
        <v>285</v>
      </c>
      <c r="G32" s="693" t="s">
        <v>116</v>
      </c>
      <c r="N32" s="767"/>
      <c r="O32" s="767"/>
      <c r="Q32" s="239"/>
      <c r="R32" s="213" t="s">
        <v>114</v>
      </c>
      <c r="S32" s="213" t="s">
        <v>115</v>
      </c>
    </row>
    <row r="33" spans="3:19" ht="15">
      <c r="C33" s="559" t="s">
        <v>284</v>
      </c>
      <c r="D33" s="154"/>
      <c r="E33" s="380"/>
      <c r="F33" s="550">
        <f>'Rental &amp; Gearing'!I31</f>
        <v>0</v>
      </c>
      <c r="G33" s="550">
        <f>'Tax Scales'!$J$14+(S33/12)</f>
        <v>0</v>
      </c>
      <c r="O33" s="279"/>
      <c r="Q33" s="209">
        <f>E20</f>
        <v>0</v>
      </c>
      <c r="R33" s="299">
        <f>D33+S40</f>
        <v>0</v>
      </c>
      <c r="S33" s="299">
        <f>(D40*12)+E33</f>
        <v>0</v>
      </c>
    </row>
    <row r="34" spans="3:19" ht="15">
      <c r="C34" s="559" t="s">
        <v>283</v>
      </c>
      <c r="D34" s="380"/>
      <c r="E34" s="380"/>
      <c r="F34" s="550">
        <f>'Rental &amp; Gearing'!I32</f>
        <v>0</v>
      </c>
      <c r="G34" s="550">
        <f>'Tax Scales'!$J$27+(S34/12)</f>
        <v>0</v>
      </c>
      <c r="O34" s="279"/>
      <c r="Q34" s="209">
        <f>E21</f>
        <v>0</v>
      </c>
      <c r="R34" s="299">
        <f>D34+S41</f>
        <v>0</v>
      </c>
      <c r="S34" s="299">
        <f>(D41*12)+E34</f>
        <v>0</v>
      </c>
    </row>
    <row r="35" spans="3:19" ht="15">
      <c r="C35" s="559" t="s">
        <v>282</v>
      </c>
      <c r="D35" s="380"/>
      <c r="E35" s="380"/>
      <c r="F35" s="550">
        <f>'Rental &amp; Gearing'!I33</f>
        <v>0</v>
      </c>
      <c r="G35" s="550">
        <f>'Tax Scales'!$J$40+(S35/12)</f>
        <v>0</v>
      </c>
      <c r="O35" s="279"/>
      <c r="Q35" s="209">
        <f>E22</f>
        <v>0</v>
      </c>
      <c r="R35" s="299">
        <f>D35+S42</f>
        <v>0</v>
      </c>
      <c r="S35" s="299">
        <f>(D42*12)+E35</f>
        <v>0</v>
      </c>
    </row>
    <row r="36" spans="3:19" ht="15">
      <c r="C36" s="560" t="s">
        <v>281</v>
      </c>
      <c r="D36" s="380"/>
      <c r="E36" s="380"/>
      <c r="F36" s="550">
        <f>'Rental &amp; Gearing'!I34</f>
        <v>0</v>
      </c>
      <c r="G36" s="550">
        <f>'Tax Scales'!$J$53+(S36/12)</f>
        <v>0</v>
      </c>
      <c r="O36" s="279"/>
      <c r="Q36" s="209">
        <f>E23</f>
        <v>0</v>
      </c>
      <c r="R36" s="299">
        <f>D36+S43</f>
        <v>0</v>
      </c>
      <c r="S36" s="299">
        <f>(D43*12)+E36</f>
        <v>0</v>
      </c>
    </row>
    <row r="37" spans="3:19" ht="12.75" customHeight="1">
      <c r="C37" s="209"/>
      <c r="E37" s="209"/>
      <c r="F37" s="215"/>
      <c r="G37" s="561">
        <f>SUM(G33:G36)</f>
        <v>0</v>
      </c>
      <c r="O37" s="279"/>
      <c r="Q37" s="209">
        <f>E24</f>
        <v>0</v>
      </c>
      <c r="R37" s="300"/>
      <c r="S37" s="217"/>
    </row>
    <row r="38" spans="3:19" ht="12.75" hidden="1" customHeight="1">
      <c r="C38" s="219"/>
      <c r="E38" s="219"/>
      <c r="F38" s="220"/>
      <c r="G38" s="220"/>
      <c r="N38" s="249"/>
      <c r="O38" s="279"/>
      <c r="Q38" s="219"/>
      <c r="R38" s="196"/>
      <c r="S38" s="196"/>
    </row>
    <row r="39" spans="3:19" ht="30">
      <c r="C39" s="694" t="s">
        <v>280</v>
      </c>
      <c r="D39" s="695" t="s">
        <v>119</v>
      </c>
      <c r="G39" s="225"/>
      <c r="N39" s="249"/>
      <c r="O39" s="279"/>
      <c r="Q39" s="302"/>
      <c r="R39" s="227" t="s">
        <v>120</v>
      </c>
      <c r="S39" s="227" t="s">
        <v>121</v>
      </c>
    </row>
    <row r="40" spans="3:19">
      <c r="C40" s="562" t="s">
        <v>279</v>
      </c>
      <c r="D40" s="550">
        <f>'Rental &amp; Gearing'!J31/12</f>
        <v>0</v>
      </c>
      <c r="G40" s="220"/>
      <c r="L40" s="301"/>
      <c r="M40" s="249"/>
      <c r="N40" s="249"/>
      <c r="O40" s="279"/>
      <c r="Q40" s="209">
        <f>E20</f>
        <v>0</v>
      </c>
      <c r="R40" s="303">
        <f>F33*RepayCalculator!$B$43</f>
        <v>0</v>
      </c>
      <c r="S40" s="303">
        <f>R40-(D40*12)</f>
        <v>0</v>
      </c>
    </row>
    <row r="41" spans="3:19">
      <c r="C41" s="562" t="s">
        <v>278</v>
      </c>
      <c r="D41" s="550">
        <f>'Rental &amp; Gearing'!J32/12</f>
        <v>0</v>
      </c>
      <c r="G41" s="220"/>
      <c r="L41" s="301"/>
      <c r="M41" s="249"/>
      <c r="N41" s="249"/>
      <c r="O41" s="279"/>
      <c r="Q41" s="209">
        <f>E21</f>
        <v>0</v>
      </c>
      <c r="R41" s="303">
        <f>F34*RepayCalculator!$B$43</f>
        <v>0</v>
      </c>
      <c r="S41" s="303">
        <f>R41-(D41*12)</f>
        <v>0</v>
      </c>
    </row>
    <row r="42" spans="3:19">
      <c r="C42" s="562" t="s">
        <v>277</v>
      </c>
      <c r="D42" s="550">
        <f>'Rental &amp; Gearing'!J33/12</f>
        <v>0</v>
      </c>
      <c r="G42" s="220"/>
      <c r="L42" s="301"/>
      <c r="M42" s="249"/>
      <c r="N42" s="249"/>
      <c r="O42" s="279"/>
      <c r="Q42" s="209">
        <f>E22</f>
        <v>0</v>
      </c>
      <c r="R42" s="303">
        <f>F35*RepayCalculator!$B$43</f>
        <v>0</v>
      </c>
      <c r="S42" s="303">
        <f>R42-(D42*12)</f>
        <v>0</v>
      </c>
    </row>
    <row r="43" spans="3:19">
      <c r="C43" s="563" t="s">
        <v>276</v>
      </c>
      <c r="D43" s="550">
        <f>'Rental &amp; Gearing'!J34/12</f>
        <v>0</v>
      </c>
      <c r="F43" s="256" t="s">
        <v>290</v>
      </c>
      <c r="G43" s="220"/>
      <c r="L43" s="301"/>
      <c r="M43" s="249"/>
      <c r="N43" s="249"/>
      <c r="O43" s="279"/>
      <c r="Q43" s="209">
        <f>E23</f>
        <v>0</v>
      </c>
      <c r="R43" s="303">
        <f>F36*RepayCalculator!$B$43</f>
        <v>0</v>
      </c>
      <c r="S43" s="303">
        <f>R43-(D43*12)</f>
        <v>0</v>
      </c>
    </row>
    <row r="44" spans="3:19" hidden="1">
      <c r="C44" s="209"/>
      <c r="F44" s="220"/>
      <c r="G44" s="220"/>
      <c r="L44" s="301"/>
      <c r="M44" s="249"/>
      <c r="N44" s="249"/>
      <c r="O44" s="279"/>
      <c r="Q44" s="209"/>
      <c r="R44" s="196"/>
      <c r="S44" s="196"/>
    </row>
    <row r="45" spans="3:19">
      <c r="C45" s="209"/>
      <c r="F45" s="220"/>
      <c r="G45" s="220"/>
      <c r="L45" s="281" t="s">
        <v>859</v>
      </c>
      <c r="M45" s="249" t="s">
        <v>860</v>
      </c>
      <c r="N45" s="249" t="s">
        <v>861</v>
      </c>
      <c r="O45" s="399"/>
      <c r="Q45" s="209"/>
      <c r="R45" s="196"/>
      <c r="S45" s="196"/>
    </row>
    <row r="46" spans="3:19" ht="15" customHeight="1">
      <c r="C46" s="696" t="s">
        <v>919</v>
      </c>
      <c r="D46" s="697" t="s">
        <v>122</v>
      </c>
      <c r="E46" s="697" t="s">
        <v>916</v>
      </c>
      <c r="L46" s="400"/>
      <c r="M46" s="256">
        <f>'Self Employed Calculator'!D34</f>
        <v>0</v>
      </c>
      <c r="N46" s="256">
        <f>'Self Employed Calculator'!D66</f>
        <v>0</v>
      </c>
      <c r="O46" s="290" t="s">
        <v>92</v>
      </c>
      <c r="Q46" s="209"/>
      <c r="R46" s="232"/>
      <c r="S46" s="232"/>
    </row>
    <row r="47" spans="3:19" ht="15">
      <c r="C47" s="564" t="s">
        <v>80</v>
      </c>
      <c r="D47" s="550">
        <v>0</v>
      </c>
      <c r="E47" s="550">
        <v>0</v>
      </c>
      <c r="G47" s="550">
        <f>IF(_GTI_ST="Sole Trade Income","",'Tax Scales'!$J$83+(S47/12))</f>
        <v>0</v>
      </c>
      <c r="L47" s="400"/>
      <c r="M47" s="256">
        <f>'Self Employed Calculator'!F34</f>
        <v>0</v>
      </c>
      <c r="N47" s="256">
        <f>'Self Employed Calculator'!F66</f>
        <v>0</v>
      </c>
      <c r="O47" s="256" t="s">
        <v>90</v>
      </c>
      <c r="Q47" s="209"/>
      <c r="R47" s="303">
        <f>D47</f>
        <v>0</v>
      </c>
      <c r="S47" s="303">
        <f>E47</f>
        <v>0</v>
      </c>
    </row>
    <row r="48" spans="3:19" ht="15">
      <c r="C48" s="560" t="s">
        <v>79</v>
      </c>
      <c r="D48" s="550">
        <v>0</v>
      </c>
      <c r="E48" s="550">
        <v>0</v>
      </c>
      <c r="G48" s="550">
        <f>IF(_GTI_ST="Sole Trade Income","",'Tax Scales'!$J$90+(S48/12))</f>
        <v>0</v>
      </c>
      <c r="L48" s="400"/>
      <c r="M48" s="256">
        <f>'Self Employed Calculator'!H34</f>
        <v>0</v>
      </c>
      <c r="N48" s="256">
        <f>'Self Employed Calculator'!H66</f>
        <v>0</v>
      </c>
      <c r="O48" s="256" t="s">
        <v>89</v>
      </c>
      <c r="Q48" s="209"/>
      <c r="R48" s="304">
        <f>D48</f>
        <v>0</v>
      </c>
      <c r="S48" s="303">
        <f>E48</f>
        <v>0</v>
      </c>
    </row>
    <row r="49" spans="3:19">
      <c r="C49" s="219"/>
      <c r="E49" s="219"/>
      <c r="F49" s="219"/>
      <c r="L49" s="400"/>
      <c r="M49" s="256">
        <f>'Self Employed Calculator'!J34</f>
        <v>0</v>
      </c>
      <c r="N49" s="256">
        <f>'Self Employed Calculator'!J66</f>
        <v>0</v>
      </c>
      <c r="O49" s="256" t="s">
        <v>88</v>
      </c>
      <c r="Q49" s="219"/>
      <c r="R49" s="196"/>
      <c r="S49" s="305"/>
    </row>
    <row r="50" spans="3:19" ht="13.9" customHeight="1">
      <c r="C50" s="219"/>
      <c r="E50" s="219"/>
      <c r="F50" s="306"/>
      <c r="L50" s="301"/>
      <c r="M50" s="249"/>
      <c r="N50" s="249"/>
      <c r="O50" s="279"/>
      <c r="Q50" s="219"/>
      <c r="R50" s="196"/>
      <c r="S50" s="196"/>
    </row>
    <row r="51" spans="3:19" ht="15">
      <c r="C51" s="746" t="s">
        <v>14</v>
      </c>
      <c r="D51" s="747"/>
      <c r="E51" s="747"/>
      <c r="F51" s="748"/>
      <c r="G51" s="550">
        <f>SUM(D33:D36)+SUM(E33:E36)+SUM(D47:D48)+SUM(E47:E48)+SUM(F33:F36)</f>
        <v>0</v>
      </c>
      <c r="L51" s="301"/>
      <c r="M51" s="249"/>
      <c r="N51" s="249"/>
      <c r="O51" s="279"/>
      <c r="Q51" s="235"/>
      <c r="R51" s="196"/>
      <c r="S51" s="196"/>
    </row>
    <row r="52" spans="3:19" ht="15">
      <c r="C52" s="743" t="s">
        <v>793</v>
      </c>
      <c r="D52" s="744"/>
      <c r="E52" s="744"/>
      <c r="F52" s="745"/>
      <c r="G52" s="565">
        <f>+G37+SUM(G47:G48)</f>
        <v>0</v>
      </c>
      <c r="L52" s="301"/>
      <c r="M52" s="697" t="s">
        <v>122</v>
      </c>
      <c r="N52" s="697" t="s">
        <v>916</v>
      </c>
      <c r="O52" s="279"/>
      <c r="Q52" s="238"/>
      <c r="R52" s="196"/>
      <c r="S52" s="196"/>
    </row>
    <row r="53" spans="3:19">
      <c r="C53" s="235"/>
      <c r="E53" s="235"/>
      <c r="F53" s="220"/>
      <c r="G53" s="220"/>
      <c r="M53" s="550">
        <f>SUM(M46:M49)</f>
        <v>0</v>
      </c>
      <c r="N53" s="550">
        <f>'Self Employed Calculator'!D36+'Self Employed Calculator'!F36+'Self Employed Calculator'!H36+'Self Employed Calculator'!J36</f>
        <v>0</v>
      </c>
      <c r="O53" s="279" t="str" cm="1">
        <f t="array" ref="O53">IFERROR(IF(SE1Test=1,_SE1dep,IF(SE1Test=2,_SE1depadj,0)),"")</f>
        <v/>
      </c>
      <c r="Q53" s="235"/>
      <c r="R53" s="196"/>
      <c r="S53" s="196"/>
    </row>
    <row r="54" spans="3:19" s="240" customFormat="1" ht="14.25" customHeight="1">
      <c r="C54" s="698" t="s">
        <v>128</v>
      </c>
      <c r="D54" s="697" t="s">
        <v>109</v>
      </c>
      <c r="E54" s="697" t="s">
        <v>100</v>
      </c>
      <c r="F54" s="699" t="s">
        <v>110</v>
      </c>
      <c r="G54" s="699" t="s">
        <v>111</v>
      </c>
      <c r="M54" s="550">
        <f>SUM(N46:N49)</f>
        <v>0</v>
      </c>
      <c r="N54" s="550">
        <f>'Self Employed Calculator'!D68+'Self Employed Calculator'!F68+'Self Employed Calculator'!H68+'Self Employed Calculator'!J68</f>
        <v>0</v>
      </c>
      <c r="O54" s="309"/>
      <c r="Q54" s="239"/>
      <c r="R54" s="242"/>
      <c r="S54" s="242"/>
    </row>
    <row r="55" spans="3:19" s="240" customFormat="1" ht="15" customHeight="1">
      <c r="C55" s="566" t="s">
        <v>294</v>
      </c>
      <c r="D55" s="380"/>
      <c r="E55" s="154"/>
      <c r="F55" s="338"/>
      <c r="G55" s="338"/>
      <c r="N55" s="290"/>
      <c r="O55" s="309"/>
      <c r="Q55" s="239"/>
      <c r="R55" s="283"/>
      <c r="S55" s="283"/>
    </row>
    <row r="56" spans="3:19">
      <c r="C56" s="566" t="s">
        <v>295</v>
      </c>
      <c r="D56" s="380"/>
      <c r="E56" s="154"/>
      <c r="F56" s="338"/>
      <c r="G56" s="338"/>
      <c r="L56" s="281"/>
      <c r="M56" s="297"/>
      <c r="N56" s="766"/>
      <c r="O56" s="767"/>
      <c r="Q56" s="209"/>
      <c r="R56" s="310"/>
      <c r="S56" s="310"/>
    </row>
    <row r="57" spans="3:19">
      <c r="C57" s="566" t="s">
        <v>296</v>
      </c>
      <c r="D57" s="380"/>
      <c r="E57" s="154"/>
      <c r="F57" s="338"/>
      <c r="G57" s="338"/>
      <c r="L57" s="281"/>
      <c r="M57" s="297"/>
      <c r="N57" s="767"/>
      <c r="O57" s="767"/>
      <c r="Q57" s="209"/>
      <c r="R57" s="310"/>
      <c r="S57" s="310"/>
    </row>
    <row r="58" spans="3:19">
      <c r="C58" s="566" t="s">
        <v>297</v>
      </c>
      <c r="D58" s="380"/>
      <c r="E58" s="154"/>
      <c r="F58" s="338"/>
      <c r="G58" s="338"/>
      <c r="L58" s="281"/>
      <c r="M58" s="297"/>
      <c r="N58" s="767"/>
      <c r="O58" s="767"/>
      <c r="Q58" s="209"/>
      <c r="R58" s="310"/>
      <c r="S58" s="310"/>
    </row>
    <row r="59" spans="3:19">
      <c r="C59" s="566" t="s">
        <v>298</v>
      </c>
      <c r="D59" s="380"/>
      <c r="E59" s="154"/>
      <c r="F59" s="338"/>
      <c r="G59" s="338"/>
      <c r="L59" s="281"/>
      <c r="M59" s="297"/>
      <c r="N59" s="311"/>
      <c r="O59" s="311"/>
      <c r="Q59" s="209"/>
      <c r="R59" s="310"/>
      <c r="S59" s="310"/>
    </row>
    <row r="60" spans="3:19">
      <c r="C60" s="566" t="s">
        <v>275</v>
      </c>
      <c r="D60" s="380"/>
      <c r="E60" s="154"/>
      <c r="F60" s="338"/>
      <c r="G60" s="338"/>
      <c r="L60" s="281"/>
      <c r="M60" s="297"/>
      <c r="N60" s="311"/>
      <c r="O60" s="311"/>
      <c r="Q60" s="209"/>
      <c r="R60" s="310"/>
      <c r="S60" s="310"/>
    </row>
    <row r="61" spans="3:19">
      <c r="C61" s="566" t="s">
        <v>274</v>
      </c>
      <c r="D61" s="380"/>
      <c r="E61" s="154"/>
      <c r="F61" s="338"/>
      <c r="G61" s="338"/>
      <c r="L61" s="281"/>
      <c r="M61" s="297"/>
      <c r="N61" s="311"/>
      <c r="O61" s="311"/>
      <c r="Q61" s="209"/>
      <c r="R61" s="310"/>
      <c r="S61" s="310"/>
    </row>
    <row r="62" spans="3:19">
      <c r="C62" s="566" t="s">
        <v>273</v>
      </c>
      <c r="D62" s="380"/>
      <c r="E62" s="154"/>
      <c r="F62" s="338"/>
      <c r="G62" s="338"/>
      <c r="L62" s="281"/>
      <c r="M62" s="297"/>
      <c r="N62" s="768"/>
      <c r="O62" s="765"/>
      <c r="Q62" s="209"/>
      <c r="R62" s="310"/>
      <c r="S62" s="310"/>
    </row>
    <row r="63" spans="3:19">
      <c r="C63" s="566" t="s">
        <v>132</v>
      </c>
      <c r="D63" s="154"/>
      <c r="E63" s="154"/>
      <c r="F63" s="338"/>
      <c r="G63" s="338"/>
      <c r="L63" s="281"/>
      <c r="M63" s="297"/>
      <c r="N63" s="765"/>
      <c r="O63" s="765"/>
      <c r="Q63" s="209"/>
      <c r="R63" s="310"/>
      <c r="S63" s="310"/>
    </row>
    <row r="64" spans="3:19" ht="13.9" customHeight="1">
      <c r="C64" s="566" t="s">
        <v>299</v>
      </c>
      <c r="D64" s="380"/>
      <c r="E64" s="154"/>
      <c r="F64" s="338"/>
      <c r="G64" s="338"/>
      <c r="M64" s="297"/>
      <c r="N64" s="764"/>
      <c r="O64" s="765"/>
      <c r="Q64" s="209"/>
      <c r="R64" s="310"/>
      <c r="S64" s="310"/>
    </row>
    <row r="65" spans="3:19">
      <c r="C65" s="567" t="s">
        <v>129</v>
      </c>
      <c r="D65" s="568">
        <f>SUM(D55:D64)</f>
        <v>0</v>
      </c>
      <c r="E65" s="568">
        <f>SUM(E55:E64)</f>
        <v>0</v>
      </c>
      <c r="F65" s="569">
        <f>SUM(F55:F64)</f>
        <v>0</v>
      </c>
      <c r="G65" s="569">
        <f>SUM(G55:G64)</f>
        <v>0</v>
      </c>
      <c r="M65" s="297"/>
      <c r="N65" s="765"/>
      <c r="O65" s="765"/>
      <c r="Q65" s="235"/>
      <c r="R65" s="312"/>
      <c r="S65" s="312"/>
    </row>
    <row r="66" spans="3:19" ht="13.9" customHeight="1">
      <c r="C66" s="567" t="s">
        <v>272</v>
      </c>
      <c r="D66" s="568">
        <f>_xlfn.IFNA(VLOOKUP($R$26,HEM!$B$12:$P$34,$K$26,FALSE),0)*52/12</f>
        <v>0</v>
      </c>
      <c r="E66" s="568">
        <f>_xlfn.IFNA(VLOOKUP($R$27,HEM!$B$12:$P$34,$K$27,FALSE),0)*52/12</f>
        <v>0</v>
      </c>
      <c r="F66" s="569">
        <f>_xlfn.IFNA(VLOOKUP($R$28,HEM!$B$12:$P$34,$K$28,FALSE),0)*52/12</f>
        <v>0</v>
      </c>
      <c r="G66" s="569">
        <f>_xlfn.IFNA(VLOOKUP($R$29,HEM!$B$12:$P$34,$K$29,FALSE),0)*52/12</f>
        <v>0</v>
      </c>
      <c r="L66" s="281"/>
      <c r="M66" s="297"/>
      <c r="N66" s="764"/>
      <c r="O66" s="765"/>
      <c r="Q66" s="235"/>
      <c r="R66" s="312"/>
      <c r="S66" s="312"/>
    </row>
    <row r="67" spans="3:19">
      <c r="C67" s="570" t="s">
        <v>130</v>
      </c>
      <c r="D67" s="568">
        <f>IF(D66&gt;D65,D66,D65)</f>
        <v>0</v>
      </c>
      <c r="E67" s="568">
        <f>IF(E66&gt;E65,E66,E65)</f>
        <v>0</v>
      </c>
      <c r="F67" s="569">
        <f>IF(F66&gt;F65,F66,F65)</f>
        <v>0</v>
      </c>
      <c r="G67" s="569">
        <f>IF(G66&gt;G65,G66,G65)</f>
        <v>0</v>
      </c>
      <c r="L67" s="281"/>
      <c r="M67" s="297"/>
      <c r="N67" s="765"/>
      <c r="O67" s="765"/>
      <c r="Q67" s="235"/>
      <c r="R67" s="312"/>
      <c r="S67" s="312"/>
    </row>
    <row r="68" spans="3:19" ht="13.9" customHeight="1">
      <c r="C68" s="566" t="s">
        <v>131</v>
      </c>
      <c r="D68" s="154"/>
      <c r="E68" s="571"/>
      <c r="F68" s="338"/>
      <c r="G68" s="338"/>
      <c r="L68" s="281"/>
      <c r="M68" s="297"/>
      <c r="N68" s="764"/>
      <c r="O68" s="765"/>
      <c r="Q68" s="209"/>
      <c r="R68" s="310"/>
      <c r="S68" s="310"/>
    </row>
    <row r="69" spans="3:19" ht="13.9" customHeight="1">
      <c r="C69" s="566" t="s">
        <v>920</v>
      </c>
      <c r="D69" s="471"/>
      <c r="E69" s="154"/>
      <c r="F69" s="338"/>
      <c r="G69" s="338"/>
      <c r="L69" s="281"/>
      <c r="M69" s="297"/>
      <c r="N69" s="764"/>
      <c r="O69" s="765"/>
      <c r="Q69" s="209"/>
      <c r="R69" s="310"/>
      <c r="S69" s="310"/>
    </row>
    <row r="70" spans="3:19" ht="13.9" customHeight="1">
      <c r="C70" s="566" t="s">
        <v>133</v>
      </c>
      <c r="D70" s="154"/>
      <c r="E70" s="154"/>
      <c r="F70" s="338"/>
      <c r="G70" s="338"/>
      <c r="L70" s="281"/>
      <c r="M70" s="297"/>
      <c r="N70" s="764"/>
      <c r="O70" s="765"/>
      <c r="Q70" s="209"/>
      <c r="R70" s="310"/>
      <c r="S70" s="310"/>
    </row>
    <row r="71" spans="3:19" ht="14.25" customHeight="1">
      <c r="C71" s="763" t="str">
        <f>"WARNING - "&amp;IF(D65&lt;D66,"Household 1 ","")&amp;IF(E65&lt;E66,"Household 2 ","")&amp;IF(F65&lt;F66,"Household 3 ","")&amp;IF(G65&lt;G66,"Household 4 ","")&amp;"declared living expenses are below benchmark. Detailed review of living expenses required"</f>
        <v>WARNING - declared living expenses are below benchmark. Detailed review of living expenses required</v>
      </c>
      <c r="D71" s="763"/>
      <c r="E71" s="763"/>
      <c r="F71" s="763"/>
      <c r="G71" s="763"/>
      <c r="L71" s="281"/>
      <c r="M71" s="297"/>
      <c r="N71" s="765"/>
      <c r="O71" s="765"/>
      <c r="Q71" s="209"/>
      <c r="R71" s="310"/>
      <c r="S71" s="310"/>
    </row>
    <row r="72" spans="3:19" ht="15">
      <c r="C72" s="741" t="s">
        <v>135</v>
      </c>
      <c r="D72" s="742"/>
      <c r="E72" s="742"/>
      <c r="F72" s="762"/>
      <c r="G72" s="572">
        <f>SUM(D67:G67)</f>
        <v>0</v>
      </c>
      <c r="L72" s="281"/>
      <c r="M72" s="297"/>
      <c r="N72" s="249"/>
      <c r="O72" s="279"/>
      <c r="Q72" s="209"/>
      <c r="R72" s="196"/>
      <c r="S72" s="196"/>
    </row>
    <row r="73" spans="3:19" ht="15">
      <c r="C73" s="741" t="s">
        <v>292</v>
      </c>
      <c r="D73" s="742"/>
      <c r="E73" s="742"/>
      <c r="F73" s="762"/>
      <c r="G73" s="572">
        <f>SUM(D68:G70)</f>
        <v>0</v>
      </c>
      <c r="L73" s="281"/>
      <c r="M73" s="297"/>
      <c r="N73" s="249"/>
      <c r="O73" s="279"/>
      <c r="Q73" s="239"/>
      <c r="R73" s="196"/>
      <c r="S73" s="196"/>
    </row>
    <row r="74" spans="3:19" ht="15">
      <c r="C74" s="754" t="s">
        <v>271</v>
      </c>
      <c r="D74" s="744"/>
      <c r="E74" s="744"/>
      <c r="F74" s="755"/>
      <c r="G74" s="573">
        <f>G72+G73</f>
        <v>0</v>
      </c>
      <c r="L74" s="281"/>
      <c r="M74" s="297"/>
      <c r="N74" s="249"/>
      <c r="O74" s="279"/>
      <c r="Q74" s="239"/>
      <c r="R74" s="196"/>
      <c r="S74" s="196"/>
    </row>
    <row r="75" spans="3:19" ht="14.25">
      <c r="L75" s="281"/>
      <c r="M75" s="297"/>
      <c r="N75" s="249"/>
      <c r="O75" s="279"/>
      <c r="Q75" s="239"/>
      <c r="R75" s="196"/>
      <c r="S75" s="196"/>
    </row>
    <row r="76" spans="3:19" ht="13.5" customHeight="1">
      <c r="C76" s="754" t="s">
        <v>293</v>
      </c>
      <c r="D76" s="744"/>
      <c r="E76" s="744"/>
      <c r="F76" s="745"/>
      <c r="G76" s="568">
        <f>G52-G74</f>
        <v>0</v>
      </c>
      <c r="L76" s="281"/>
      <c r="M76" s="297"/>
      <c r="N76" s="249"/>
      <c r="O76" s="279"/>
      <c r="Q76" s="245"/>
      <c r="R76" s="203"/>
      <c r="S76" s="203"/>
    </row>
    <row r="77" spans="3:19" ht="14.25">
      <c r="L77" s="313"/>
      <c r="M77" s="297"/>
      <c r="N77" s="249"/>
      <c r="O77" s="279"/>
      <c r="Q77" s="238"/>
      <c r="R77" s="246"/>
      <c r="S77" s="314"/>
    </row>
    <row r="78" spans="3:19">
      <c r="L78" s="281"/>
      <c r="M78" s="297"/>
      <c r="N78" s="249"/>
      <c r="O78" s="279"/>
      <c r="Q78" s="249"/>
      <c r="R78" s="250"/>
      <c r="S78" s="250"/>
    </row>
    <row r="79" spans="3:19" ht="15" customHeight="1">
      <c r="C79" s="698" t="s">
        <v>137</v>
      </c>
      <c r="D79" s="697" t="s">
        <v>138</v>
      </c>
      <c r="E79" s="697" t="s">
        <v>139</v>
      </c>
      <c r="G79" s="200"/>
      <c r="L79" s="301"/>
      <c r="M79" s="297"/>
      <c r="N79" s="249"/>
      <c r="O79" s="279"/>
      <c r="Q79" s="239"/>
      <c r="R79" s="251"/>
      <c r="S79" s="251"/>
    </row>
    <row r="80" spans="3:19">
      <c r="C80" s="574" t="s">
        <v>140</v>
      </c>
      <c r="D80" s="157"/>
      <c r="E80" s="575">
        <f>D80*0.0383</f>
        <v>0</v>
      </c>
      <c r="L80" s="249"/>
      <c r="M80" s="249"/>
      <c r="N80" s="290"/>
      <c r="O80" s="279"/>
      <c r="Q80" s="209"/>
      <c r="R80" s="196"/>
      <c r="S80" s="196"/>
    </row>
    <row r="81" spans="3:19">
      <c r="C81" s="156"/>
      <c r="D81" s="157"/>
      <c r="E81" s="155"/>
      <c r="L81" s="245"/>
      <c r="M81" s="249"/>
      <c r="N81" s="290"/>
      <c r="O81" s="279"/>
      <c r="Q81" s="209"/>
      <c r="R81" s="315"/>
      <c r="S81" s="310"/>
    </row>
    <row r="82" spans="3:19">
      <c r="C82" s="156"/>
      <c r="D82" s="381"/>
      <c r="E82" s="155"/>
      <c r="L82" s="245"/>
      <c r="M82" s="249"/>
      <c r="N82" s="290"/>
      <c r="O82" s="279"/>
      <c r="Q82" s="209"/>
      <c r="R82" s="315"/>
      <c r="S82" s="310"/>
    </row>
    <row r="83" spans="3:19">
      <c r="C83" s="156"/>
      <c r="D83" s="158"/>
      <c r="E83" s="159"/>
      <c r="L83" s="245"/>
      <c r="M83" s="249"/>
      <c r="N83" s="249"/>
      <c r="O83" s="279"/>
      <c r="Q83" s="209"/>
      <c r="R83" s="315"/>
      <c r="S83" s="310"/>
    </row>
    <row r="84" spans="3:19">
      <c r="C84" s="334"/>
      <c r="D84" s="335"/>
      <c r="E84" s="336"/>
      <c r="L84" s="245"/>
      <c r="M84" s="249"/>
      <c r="N84" s="249"/>
      <c r="O84" s="279"/>
      <c r="Q84" s="209"/>
      <c r="R84" s="315"/>
      <c r="S84" s="310"/>
    </row>
    <row r="85" spans="3:19">
      <c r="C85" s="156"/>
      <c r="D85" s="337"/>
      <c r="E85" s="337"/>
      <c r="G85" s="249"/>
      <c r="L85" s="245"/>
      <c r="M85" s="249"/>
      <c r="N85" s="249"/>
      <c r="O85" s="279"/>
      <c r="Q85" s="209"/>
      <c r="R85" s="315"/>
      <c r="S85" s="310"/>
    </row>
    <row r="86" spans="3:19" ht="14.25">
      <c r="C86" s="156"/>
      <c r="D86" s="337"/>
      <c r="E86" s="337"/>
      <c r="G86" s="191"/>
      <c r="L86" s="245"/>
      <c r="M86" s="249"/>
      <c r="N86" s="249"/>
      <c r="O86" s="279"/>
      <c r="Q86" s="209"/>
      <c r="R86" s="315"/>
      <c r="S86" s="310"/>
    </row>
    <row r="87" spans="3:19">
      <c r="C87" s="156"/>
      <c r="D87" s="337"/>
      <c r="E87" s="337"/>
      <c r="G87" s="288"/>
      <c r="L87" s="245"/>
      <c r="M87" s="249"/>
      <c r="N87" s="249"/>
      <c r="O87" s="279"/>
      <c r="Q87" s="209"/>
      <c r="R87" s="315"/>
      <c r="S87" s="310"/>
    </row>
    <row r="88" spans="3:19">
      <c r="C88" s="156"/>
      <c r="D88" s="337"/>
      <c r="E88" s="337"/>
      <c r="G88" s="200"/>
      <c r="L88" s="249"/>
      <c r="M88" s="249"/>
      <c r="N88" s="290"/>
      <c r="O88" s="279"/>
      <c r="Q88" s="209"/>
      <c r="R88" s="315"/>
      <c r="S88" s="310"/>
    </row>
    <row r="89" spans="3:19">
      <c r="C89" s="156"/>
      <c r="D89" s="337"/>
      <c r="E89" s="337"/>
      <c r="G89" s="200"/>
      <c r="L89" s="249"/>
      <c r="M89" s="249"/>
      <c r="N89" s="290"/>
      <c r="O89" s="279"/>
      <c r="Q89" s="209"/>
      <c r="R89" s="315"/>
      <c r="S89" s="310"/>
    </row>
    <row r="90" spans="3:19">
      <c r="C90" s="156"/>
      <c r="D90" s="337"/>
      <c r="E90" s="144"/>
      <c r="G90" s="200"/>
      <c r="L90" s="249"/>
      <c r="M90" s="249"/>
      <c r="N90" s="249"/>
      <c r="O90" s="279"/>
      <c r="Q90" s="209"/>
      <c r="R90" s="315"/>
      <c r="S90" s="310"/>
    </row>
    <row r="91" spans="3:19">
      <c r="C91" s="156"/>
      <c r="D91" s="144"/>
      <c r="E91" s="144"/>
      <c r="G91" s="200"/>
      <c r="L91" s="307"/>
      <c r="M91" s="249"/>
      <c r="N91" s="249"/>
      <c r="O91" s="279"/>
      <c r="Q91" s="209"/>
      <c r="R91" s="316"/>
      <c r="S91" s="317"/>
    </row>
    <row r="92" spans="3:19">
      <c r="C92" s="318"/>
      <c r="D92" s="220"/>
      <c r="E92" s="220"/>
      <c r="G92" s="200"/>
      <c r="L92" s="307"/>
      <c r="M92" s="249"/>
      <c r="N92" s="249"/>
      <c r="O92" s="279"/>
      <c r="Q92" s="209"/>
      <c r="R92" s="319"/>
      <c r="S92" s="320"/>
    </row>
    <row r="93" spans="3:19" ht="15">
      <c r="C93" s="749" t="s">
        <v>270</v>
      </c>
      <c r="D93" s="750"/>
      <c r="E93" s="750"/>
      <c r="F93" s="751"/>
      <c r="G93" s="576">
        <f>SUM(E80:E91)</f>
        <v>0</v>
      </c>
      <c r="L93" s="321"/>
      <c r="M93" s="249"/>
      <c r="N93" s="249"/>
      <c r="O93" s="322"/>
      <c r="Q93" s="245"/>
      <c r="R93" s="196"/>
      <c r="S93" s="196"/>
    </row>
    <row r="94" spans="3:19" ht="15">
      <c r="C94" s="752" t="s">
        <v>851</v>
      </c>
      <c r="D94" s="742"/>
      <c r="E94" s="742"/>
      <c r="F94" s="753"/>
      <c r="G94" s="576">
        <f>SUM(D81:D91)/12*2.25%</f>
        <v>0</v>
      </c>
      <c r="L94" s="323"/>
      <c r="O94" s="324"/>
      <c r="Q94" s="238"/>
      <c r="R94" s="205"/>
      <c r="S94" s="196"/>
    </row>
    <row r="95" spans="3:19" ht="15">
      <c r="C95" s="700"/>
      <c r="D95" s="701"/>
      <c r="E95" s="701"/>
      <c r="F95" s="702" t="s">
        <v>852</v>
      </c>
      <c r="G95" s="576">
        <f>SUM(G93:G94)</f>
        <v>0</v>
      </c>
      <c r="L95" s="323"/>
      <c r="O95" s="324"/>
      <c r="Q95" s="238"/>
      <c r="R95" s="205"/>
      <c r="S95" s="196"/>
    </row>
    <row r="96" spans="3:19" ht="15" hidden="1">
      <c r="C96" s="703"/>
      <c r="D96" s="703"/>
      <c r="E96" s="703"/>
      <c r="F96" s="704" t="s">
        <v>848</v>
      </c>
      <c r="G96" s="577">
        <f>SUM(D82:D91)/12*RepayCalculator!B6</f>
        <v>0</v>
      </c>
      <c r="L96" s="323"/>
      <c r="O96" s="324"/>
      <c r="Q96" s="238"/>
      <c r="R96" s="205"/>
      <c r="S96" s="196"/>
    </row>
    <row r="97" spans="3:21" ht="15" hidden="1">
      <c r="C97" s="754" t="s">
        <v>849</v>
      </c>
      <c r="D97" s="744"/>
      <c r="E97" s="744"/>
      <c r="F97" s="755"/>
      <c r="G97" s="578">
        <f>SUM(G95:G96)</f>
        <v>0</v>
      </c>
      <c r="L97" s="307"/>
      <c r="M97" s="249"/>
      <c r="N97" s="249"/>
      <c r="O97" s="279"/>
      <c r="Q97" s="245"/>
      <c r="R97" s="254"/>
      <c r="S97" s="254"/>
    </row>
    <row r="98" spans="3:21">
      <c r="E98" s="245"/>
      <c r="F98" s="325"/>
      <c r="G98" s="325"/>
      <c r="O98" s="456"/>
      <c r="Q98" s="245"/>
      <c r="R98" s="196"/>
      <c r="S98" s="254"/>
    </row>
    <row r="99" spans="3:21" ht="15.75" customHeight="1">
      <c r="E99" s="326"/>
      <c r="G99" s="327" t="s">
        <v>258</v>
      </c>
      <c r="L99" s="324">
        <f>G37+G47+G48-G74</f>
        <v>0</v>
      </c>
      <c r="Q99" s="326"/>
      <c r="R99" s="226"/>
      <c r="S99" s="226"/>
    </row>
    <row r="100" spans="3:21" ht="15.75" thickBot="1">
      <c r="C100" s="759" t="s">
        <v>143</v>
      </c>
      <c r="D100" s="760"/>
      <c r="E100" s="760"/>
      <c r="F100" s="761"/>
      <c r="G100" s="579">
        <f>G76-G95-J14</f>
        <v>0</v>
      </c>
      <c r="L100" s="324">
        <f>G16+G97</f>
        <v>0</v>
      </c>
      <c r="M100" s="281"/>
      <c r="N100" s="279"/>
      <c r="O100" s="279"/>
      <c r="Q100" s="328"/>
      <c r="R100" s="237"/>
      <c r="S100" s="237"/>
    </row>
    <row r="101" spans="3:21" ht="15.75" hidden="1" thickBot="1">
      <c r="C101" s="741" t="s">
        <v>845</v>
      </c>
      <c r="D101" s="742"/>
      <c r="E101" s="742"/>
      <c r="F101" s="742"/>
      <c r="G101" s="580" t="str">
        <f>IF(AND(G100&gt;0),"PASS","FAIL")</f>
        <v>FAIL</v>
      </c>
      <c r="L101" s="581" t="e">
        <f>L99/L100</f>
        <v>#DIV/0!</v>
      </c>
      <c r="M101" s="281"/>
      <c r="N101" s="279"/>
      <c r="O101" s="279"/>
      <c r="Q101" s="328"/>
      <c r="R101" s="237"/>
      <c r="S101" s="237"/>
    </row>
    <row r="102" spans="3:21" ht="15" hidden="1" thickBot="1">
      <c r="L102" s="281"/>
      <c r="M102" s="281"/>
      <c r="N102" s="279"/>
      <c r="O102" s="279"/>
      <c r="Q102" s="328"/>
      <c r="R102" s="237"/>
      <c r="S102" s="237"/>
      <c r="T102" s="377"/>
    </row>
    <row r="103" spans="3:21" ht="15.75" hidden="1" thickBot="1">
      <c r="C103" s="741" t="s">
        <v>790</v>
      </c>
      <c r="D103" s="742"/>
      <c r="E103" s="742"/>
      <c r="F103" s="742"/>
      <c r="G103" s="582" t="e">
        <f>+O103/O104</f>
        <v>#DIV/0!</v>
      </c>
      <c r="L103" s="323" t="s">
        <v>794</v>
      </c>
      <c r="M103" s="323"/>
      <c r="N103" s="329"/>
      <c r="O103" s="322">
        <f>G51</f>
        <v>0</v>
      </c>
      <c r="Q103" s="328"/>
      <c r="R103" s="237"/>
      <c r="S103" s="237"/>
      <c r="U103" s="324"/>
    </row>
    <row r="104" spans="3:21" ht="15.75" hidden="1" thickBot="1">
      <c r="C104" s="703"/>
      <c r="D104" s="703"/>
      <c r="E104" s="703"/>
      <c r="F104" s="703" t="s">
        <v>846</v>
      </c>
      <c r="G104" s="580" t="e">
        <f>IF(AND(G103&gt;1.75),"PASS","FAIL")</f>
        <v>#DIV/0!</v>
      </c>
      <c r="L104" s="323" t="s">
        <v>792</v>
      </c>
      <c r="M104" s="249"/>
      <c r="N104" s="249"/>
      <c r="O104" s="322">
        <f>(SUM(D16:F16)+SUM(D82:D91)*RepayCalculator!B6/12+E80)*12</f>
        <v>0</v>
      </c>
      <c r="Q104" s="239"/>
      <c r="R104" s="237"/>
      <c r="S104" s="237"/>
      <c r="U104" s="324"/>
    </row>
    <row r="105" spans="3:21" ht="15" hidden="1" customHeight="1">
      <c r="C105" s="703"/>
      <c r="D105" s="703"/>
      <c r="E105" s="703"/>
      <c r="F105" s="703" t="s">
        <v>857</v>
      </c>
      <c r="G105" s="583" t="e">
        <f>+O103/O105</f>
        <v>#DIV/0!</v>
      </c>
      <c r="L105" s="323" t="s">
        <v>856</v>
      </c>
      <c r="M105" s="249"/>
      <c r="N105" s="249"/>
      <c r="O105" s="322">
        <f>(SUM(D16:F16)+SUM(D82:D91)*RepayCalculator!B8/12+E80)*12</f>
        <v>0</v>
      </c>
      <c r="Q105" s="239"/>
      <c r="R105" s="237"/>
      <c r="S105" s="237"/>
      <c r="U105" s="324"/>
    </row>
    <row r="106" spans="3:21" ht="15" hidden="1" thickBot="1">
      <c r="L106" s="281"/>
      <c r="M106" s="281"/>
      <c r="N106" s="279"/>
      <c r="O106" s="279"/>
      <c r="Q106" s="239"/>
      <c r="R106" s="237"/>
      <c r="S106" s="237"/>
      <c r="U106" s="324"/>
    </row>
    <row r="107" spans="3:21" ht="15.75" thickBot="1">
      <c r="C107" s="741" t="s">
        <v>46</v>
      </c>
      <c r="D107" s="742"/>
      <c r="E107" s="742"/>
      <c r="F107" s="742"/>
      <c r="G107" s="584" t="e">
        <f>(SUM(D80:D91)+SUM(D7:I7))/G51</f>
        <v>#DIV/0!</v>
      </c>
      <c r="L107" s="330">
        <f>((G76-G93-G94)/(D10+1.7%)*12)</f>
        <v>0</v>
      </c>
      <c r="M107" s="281"/>
      <c r="N107" s="331"/>
      <c r="O107" s="322"/>
      <c r="Q107" s="239"/>
      <c r="R107" s="237"/>
      <c r="S107" s="237"/>
    </row>
    <row r="108" spans="3:21" ht="15">
      <c r="C108" s="703"/>
      <c r="D108" s="703"/>
      <c r="E108" s="703"/>
      <c r="F108" s="703" t="s">
        <v>934</v>
      </c>
      <c r="G108" s="585" t="e">
        <f>G52/(G95+J14+G74)</f>
        <v>#DIV/0!</v>
      </c>
      <c r="L108" s="455"/>
      <c r="M108" s="281"/>
      <c r="N108" s="331"/>
      <c r="O108" s="322"/>
      <c r="Q108" s="239"/>
      <c r="R108" s="237"/>
      <c r="S108" s="237"/>
    </row>
    <row r="109" spans="3:21" ht="18.600000000000001" hidden="1" customHeight="1">
      <c r="C109" s="756" t="str">
        <f>IFERROR(IF(OR(G107&gt;6,G100&lt;500),"Supplementary supporting documents are required: "&amp;"                                                                                                                                                                                                                     "&amp;
"- 3 months bank account statements showing regular salary credits OR
- Income statement from ATO (via MyGov) confirming Previous FY and Current YTD income. Screenshot acceptable to support current income figure.",""),"")</f>
        <v/>
      </c>
      <c r="D109" s="756"/>
      <c r="E109" s="756"/>
      <c r="F109" s="756"/>
      <c r="G109" s="757"/>
      <c r="L109" s="281"/>
      <c r="M109" s="281"/>
      <c r="N109" s="279"/>
      <c r="O109" s="279"/>
      <c r="Q109" s="238"/>
      <c r="R109" s="332"/>
      <c r="S109" s="332"/>
    </row>
    <row r="110" spans="3:21" ht="18.75" hidden="1" customHeight="1">
      <c r="C110" s="756"/>
      <c r="D110" s="756"/>
      <c r="E110" s="756"/>
      <c r="F110" s="756"/>
      <c r="G110" s="758"/>
      <c r="L110" s="279"/>
      <c r="M110" s="279"/>
      <c r="N110" s="279"/>
      <c r="O110" s="279"/>
      <c r="Q110" s="235"/>
      <c r="R110" s="237"/>
      <c r="S110" s="237"/>
    </row>
    <row r="111" spans="3:21" ht="18.75" customHeight="1">
      <c r="C111" s="741" t="s">
        <v>942</v>
      </c>
      <c r="D111" s="742"/>
      <c r="E111" s="742"/>
      <c r="F111" s="742"/>
      <c r="G111" s="580" t="e">
        <f>IF(AND(G100&gt;0,G108&gt;1.001),"Pass","Fail")</f>
        <v>#DIV/0!</v>
      </c>
      <c r="L111" s="279"/>
      <c r="M111" s="279"/>
      <c r="N111" s="279"/>
      <c r="O111" s="279"/>
      <c r="Q111" s="235"/>
      <c r="R111" s="237"/>
      <c r="S111" s="237"/>
    </row>
    <row r="112" spans="3:21" ht="15">
      <c r="C112" s="743" t="s">
        <v>300</v>
      </c>
      <c r="D112" s="744"/>
      <c r="E112" s="744"/>
      <c r="F112" s="745"/>
      <c r="G112" s="586" t="str">
        <f>IF(OR(E7&gt;0,F7&gt;0),"N/A - Multiple loans",IF(D6="Principal &amp; Interest",FLOOR(-PV((D13)/12,(D8-D9)*12,(G76-G95),0,0),100),"N/A"))</f>
        <v>N/A</v>
      </c>
      <c r="L112" s="279"/>
      <c r="M112" s="279"/>
      <c r="N112" s="279"/>
      <c r="O112" s="279"/>
      <c r="Q112" s="279"/>
      <c r="R112" s="279"/>
      <c r="S112" s="279"/>
    </row>
    <row r="113" spans="3:19">
      <c r="L113" s="279"/>
      <c r="M113" s="279"/>
      <c r="N113" s="279"/>
      <c r="O113" s="279"/>
      <c r="Q113" s="279"/>
      <c r="R113" s="279"/>
      <c r="S113" s="279"/>
    </row>
    <row r="114" spans="3:19">
      <c r="C114" s="333"/>
      <c r="E114" s="333"/>
      <c r="F114" s="279"/>
      <c r="G114" s="279"/>
      <c r="Q114" s="333"/>
      <c r="R114" s="279"/>
      <c r="S114" s="279"/>
    </row>
    <row r="117" spans="3:19" ht="14.25">
      <c r="E117" s="239"/>
      <c r="F117" s="200"/>
    </row>
    <row r="118" spans="3:19" ht="14.25">
      <c r="E118" s="239"/>
      <c r="F118" s="200"/>
    </row>
    <row r="119" spans="3:19" ht="14.25">
      <c r="E119" s="239"/>
      <c r="F119" s="200"/>
    </row>
    <row r="120" spans="3:19">
      <c r="C120" s="245"/>
      <c r="E120" s="245"/>
      <c r="F120" s="200"/>
      <c r="G120" s="297"/>
    </row>
    <row r="121" spans="3:19" ht="14.25">
      <c r="E121" s="238"/>
      <c r="F121" s="235"/>
    </row>
    <row r="123" spans="3:19" ht="14.25">
      <c r="E123" s="239"/>
      <c r="F123" s="200"/>
    </row>
    <row r="124" spans="3:19" ht="14.25">
      <c r="E124" s="239"/>
      <c r="F124" s="200"/>
    </row>
  </sheetData>
  <sheetProtection algorithmName="SHA-512" hashValue="xvTJv3RoLGDwlFmcyzoj7O94H4gmEi5lIe0+4se//OWzcAzj/u74NEBoel/VzIR+fsZY+5ppC9sT6JOO+Qwgjg==" saltValue="j36/klHKL20bI+PRZr/deA==" spinCount="100000" sheet="1" objects="1" scenarios="1"/>
  <mergeCells count="23">
    <mergeCell ref="C71:G71"/>
    <mergeCell ref="N68:O71"/>
    <mergeCell ref="N20:O32"/>
    <mergeCell ref="N56:O58"/>
    <mergeCell ref="N62:O63"/>
    <mergeCell ref="N64:O65"/>
    <mergeCell ref="N66:O67"/>
    <mergeCell ref="C111:F111"/>
    <mergeCell ref="C112:F112"/>
    <mergeCell ref="C51:F51"/>
    <mergeCell ref="C52:F52"/>
    <mergeCell ref="C93:F93"/>
    <mergeCell ref="C94:F94"/>
    <mergeCell ref="C97:F97"/>
    <mergeCell ref="C109:G110"/>
    <mergeCell ref="C101:F101"/>
    <mergeCell ref="C100:F100"/>
    <mergeCell ref="C107:F107"/>
    <mergeCell ref="C103:F103"/>
    <mergeCell ref="C72:F72"/>
    <mergeCell ref="C73:F73"/>
    <mergeCell ref="C74:F74"/>
    <mergeCell ref="C76:F76"/>
  </mergeCells>
  <phoneticPr fontId="95" type="noConversion"/>
  <conditionalFormatting sqref="R20:R23 G97">
    <cfRule type="expression" dxfId="163" priority="92" stopIfTrue="1">
      <formula>$M$63&gt;0</formula>
    </cfRule>
    <cfRule type="expression" dxfId="162" priority="93" stopIfTrue="1">
      <formula>$M$63&lt;0</formula>
    </cfRule>
  </conditionalFormatting>
  <conditionalFormatting sqref="G88:G93">
    <cfRule type="expression" dxfId="161" priority="78" stopIfTrue="1">
      <formula>$M$63&gt;0</formula>
    </cfRule>
    <cfRule type="expression" dxfId="160" priority="79" stopIfTrue="1">
      <formula>$M$63&lt;0</formula>
    </cfRule>
  </conditionalFormatting>
  <conditionalFormatting sqref="G88:G93">
    <cfRule type="expression" dxfId="159" priority="80" stopIfTrue="1">
      <formula>$M$63&gt;0</formula>
    </cfRule>
    <cfRule type="expression" dxfId="158" priority="81" stopIfTrue="1">
      <formula>$M$63&lt;0</formula>
    </cfRule>
  </conditionalFormatting>
  <conditionalFormatting sqref="G112">
    <cfRule type="expression" dxfId="157" priority="211" stopIfTrue="1">
      <formula>$D$6="Interest Only"</formula>
    </cfRule>
    <cfRule type="expression" dxfId="156" priority="212" stopIfTrue="1">
      <formula>$D$6="Interest Only"</formula>
    </cfRule>
    <cfRule type="expression" dxfId="155" priority="213" stopIfTrue="1">
      <formula>$D$6="Interest Only"</formula>
    </cfRule>
  </conditionalFormatting>
  <conditionalFormatting sqref="D55:G64 D70:G70 E69:G69 D68:G68">
    <cfRule type="expression" dxfId="154" priority="214">
      <formula>OR($Q$33=D$54,$Q$34=D$54,$Q$35=D$54,$Q$36=D$54)</formula>
    </cfRule>
  </conditionalFormatting>
  <conditionalFormatting sqref="E54:E63 E65:E66 E68:E70">
    <cfRule type="expression" dxfId="153" priority="59">
      <formula>AND($E$20&lt;&gt;"Household 2",$E$21&lt;&gt;"Household 2",$E$22&lt;&gt;"Household 2",$E$23&lt;&gt;"Household 2")</formula>
    </cfRule>
  </conditionalFormatting>
  <conditionalFormatting sqref="F54:F63 F65:F66 F68:F70">
    <cfRule type="expression" dxfId="152" priority="50">
      <formula>AND($E$20&lt;&gt;"Household 3",$E$21&lt;&gt;"Household 3",$E$22&lt;&gt;"Household 3",$E$23&lt;&gt;"Household 3")</formula>
    </cfRule>
  </conditionalFormatting>
  <conditionalFormatting sqref="G54:G63 G65:G66 G68:G70">
    <cfRule type="expression" dxfId="151" priority="47">
      <formula>AND($E$20&lt;&gt;"Household 4",$E$21&lt;&gt;"Household 4",$E$22&lt;&gt;"Household 4",$E$23&lt;&gt;"Household 4")</formula>
    </cfRule>
  </conditionalFormatting>
  <conditionalFormatting sqref="G104:G105 G101">
    <cfRule type="containsText" dxfId="150" priority="44" operator="containsText" text="PASS">
      <formula>NOT(ISERROR(SEARCH("PASS",G101)))</formula>
    </cfRule>
    <cfRule type="containsText" dxfId="149" priority="45" operator="containsText" text="FAIL">
      <formula>NOT(ISERROR(SEARCH("FAIL",G101)))</formula>
    </cfRule>
  </conditionalFormatting>
  <conditionalFormatting sqref="F22:G22 F35">
    <cfRule type="expression" dxfId="148" priority="42">
      <formula>$D$22=0</formula>
    </cfRule>
  </conditionalFormatting>
  <conditionalFormatting sqref="F23:G23 F36">
    <cfRule type="expression" dxfId="147" priority="41">
      <formula>$D$23=0</formula>
    </cfRule>
  </conditionalFormatting>
  <conditionalFormatting sqref="F34">
    <cfRule type="expression" dxfId="146" priority="40">
      <formula>$D$21=0</formula>
    </cfRule>
  </conditionalFormatting>
  <conditionalFormatting sqref="D41">
    <cfRule type="expression" dxfId="145" priority="37">
      <formula>$D$21=0</formula>
    </cfRule>
  </conditionalFormatting>
  <conditionalFormatting sqref="D42">
    <cfRule type="expression" dxfId="144" priority="36">
      <formula>$D$22=0</formula>
    </cfRule>
  </conditionalFormatting>
  <conditionalFormatting sqref="D43">
    <cfRule type="expression" dxfId="143" priority="35">
      <formula>$D$23=0</formula>
    </cfRule>
  </conditionalFormatting>
  <conditionalFormatting sqref="D9:I9">
    <cfRule type="expression" dxfId="142" priority="32">
      <formula>$R$116="Interest Only"</formula>
    </cfRule>
  </conditionalFormatting>
  <conditionalFormatting sqref="G21">
    <cfRule type="expression" dxfId="141" priority="31">
      <formula>$D$21=0</formula>
    </cfRule>
  </conditionalFormatting>
  <conditionalFormatting sqref="C71:G71">
    <cfRule type="expression" dxfId="140" priority="292">
      <formula>AND($D$65&gt;=$D$66,$E$65&gt;=$E$66,$F$65&gt;=$F$66,$G$65&gt;=$G$66)</formula>
    </cfRule>
  </conditionalFormatting>
  <conditionalFormatting sqref="E64">
    <cfRule type="expression" dxfId="139" priority="28">
      <formula>AND($E$20&lt;&gt;"Household 2",$E$21&lt;&gt;"Household 2",$E$22&lt;&gt;"Household 2",$E$23&lt;&gt;"Household 2")</formula>
    </cfRule>
  </conditionalFormatting>
  <conditionalFormatting sqref="F64">
    <cfRule type="expression" dxfId="138" priority="26">
      <formula>AND($E$20&lt;&gt;"Household 3",$E$21&lt;&gt;"Household 3",$E$22&lt;&gt;"Household 3",$E$23&lt;&gt;"Household 3")</formula>
    </cfRule>
  </conditionalFormatting>
  <conditionalFormatting sqref="G64">
    <cfRule type="expression" dxfId="137" priority="24">
      <formula>AND($E$20&lt;&gt;"Household 4",$E$21&lt;&gt;"Household 4",$E$22&lt;&gt;"Household 4",$E$23&lt;&gt;"Household 4")</formula>
    </cfRule>
  </conditionalFormatting>
  <conditionalFormatting sqref="E67">
    <cfRule type="expression" dxfId="136" priority="20">
      <formula>AND($E$20&lt;&gt;"Household 2",$E$21&lt;&gt;"Household 2",$E$22&lt;&gt;"Household 2",$E$23&lt;&gt;"Household 2")</formula>
    </cfRule>
  </conditionalFormatting>
  <conditionalFormatting sqref="F67">
    <cfRule type="expression" dxfId="135" priority="19">
      <formula>AND($E$20&lt;&gt;"Household 3",$E$21&lt;&gt;"Household 3",$E$22&lt;&gt;"Household 3",$E$23&lt;&gt;"Household 3")</formula>
    </cfRule>
  </conditionalFormatting>
  <conditionalFormatting sqref="G67">
    <cfRule type="expression" dxfId="134" priority="18">
      <formula>AND($E$20&lt;&gt;"Household 4",$E$21&lt;&gt;"Household 4",$E$22&lt;&gt;"Household 4",$E$23&lt;&gt;"Household 4")</formula>
    </cfRule>
  </conditionalFormatting>
  <conditionalFormatting sqref="Q25:S30 E25:F30 C25:C30 L25:L30">
    <cfRule type="expression" dxfId="133" priority="293" stopIfTrue="1">
      <formula>#REF!&gt;0</formula>
    </cfRule>
    <cfRule type="expression" dxfId="132" priority="294" stopIfTrue="1">
      <formula>#REF!&lt;0</formula>
    </cfRule>
  </conditionalFormatting>
  <conditionalFormatting sqref="G108">
    <cfRule type="cellIs" dxfId="131" priority="17" operator="lessThan">
      <formula>1.001</formula>
    </cfRule>
  </conditionalFormatting>
  <conditionalFormatting sqref="G100">
    <cfRule type="cellIs" dxfId="130" priority="15" operator="lessThan">
      <formula>0</formula>
    </cfRule>
  </conditionalFormatting>
  <conditionalFormatting sqref="G111">
    <cfRule type="containsText" dxfId="129" priority="13" operator="containsText" text="PASS">
      <formula>NOT(ISERROR(SEARCH("PASS",G111)))</formula>
    </cfRule>
    <cfRule type="containsText" dxfId="128" priority="14" operator="containsText" text="FAIL">
      <formula>NOT(ISERROR(SEARCH("FAIL",G111)))</formula>
    </cfRule>
  </conditionalFormatting>
  <conditionalFormatting sqref="F21">
    <cfRule type="expression" dxfId="127" priority="12">
      <formula>$D$21=0</formula>
    </cfRule>
  </conditionalFormatting>
  <conditionalFormatting sqref="E22">
    <cfRule type="expression" dxfId="126" priority="11">
      <formula>$D$22=0</formula>
    </cfRule>
  </conditionalFormatting>
  <conditionalFormatting sqref="E23">
    <cfRule type="expression" dxfId="125" priority="10">
      <formula>$D$23=0</formula>
    </cfRule>
  </conditionalFormatting>
  <conditionalFormatting sqref="E21">
    <cfRule type="expression" dxfId="124" priority="9">
      <formula>$D$21=0</formula>
    </cfRule>
  </conditionalFormatting>
  <conditionalFormatting sqref="D34:E34">
    <cfRule type="expression" dxfId="123" priority="8">
      <formula>$D$21=0</formula>
    </cfRule>
  </conditionalFormatting>
  <conditionalFormatting sqref="D36">
    <cfRule type="expression" dxfId="122" priority="6">
      <formula>$D$23=0</formula>
    </cfRule>
  </conditionalFormatting>
  <conditionalFormatting sqref="E35">
    <cfRule type="expression" dxfId="121" priority="4">
      <formula>$D$22=0</formula>
    </cfRule>
  </conditionalFormatting>
  <conditionalFormatting sqref="E36">
    <cfRule type="expression" dxfId="120" priority="3">
      <formula>$D$23=0</formula>
    </cfRule>
  </conditionalFormatting>
  <conditionalFormatting sqref="D35">
    <cfRule type="expression" dxfId="119" priority="2">
      <formula>$D$22=0</formula>
    </cfRule>
  </conditionalFormatting>
  <dataValidations count="11">
    <dataValidation type="whole" allowBlank="1" showInputMessage="1" showErrorMessage="1" errorTitle="Interest Only Term Incorrect" error="Maximum interest only term of 5 years or total loan term." sqref="D9:I9" xr:uid="{8B1F9FF2-BB7A-4A5F-B9BE-80B5596F3ECB}">
      <formula1>0</formula1>
      <formula2>IF(D8&lt;5,D8,5)</formula2>
    </dataValidation>
    <dataValidation type="decimal" allowBlank="1" showErrorMessage="1" errorTitle="Household Details Required" error="Income may only be entered for an applicant if household details have been entered for that applicant." sqref="F34:F36" xr:uid="{87E6118F-4D2B-40C5-BC24-21407A505CAE}">
      <formula1>0</formula1>
      <formula2>IF(Q34=0,0,999999999)</formula2>
    </dataValidation>
    <dataValidation type="whole" allowBlank="1" showInputMessage="1" showErrorMessage="1" errorTitle="Maximum Loan Term Exceeded" error="Loan term must not exceed 30 years if Principal &amp; Interest or 5 years if Interest Only" sqref="K7" xr:uid="{2F1C3DAC-BA24-4AB5-8AC4-BE3182520070}">
      <formula1>0</formula1>
      <formula2>IF(R6="Interest Only",5,30)</formula2>
    </dataValidation>
    <dataValidation type="decimal" allowBlank="1" showErrorMessage="1" errorTitle="Household Details Required" error="Income may only be entered for an applicant if household details have been entered for that applicant." sqref="D40:D43" xr:uid="{5AA319B4-E782-4C7D-8819-2540EE1834C7}">
      <formula1>0</formula1>
      <formula2>IF(Q40=0,0,999999999)</formula2>
    </dataValidation>
    <dataValidation type="decimal" allowBlank="1" showErrorMessage="1" errorTitle="Household Details Required" error="Income details may only be entered when household details have been entered for that applicant." prompt="I" sqref="F33" xr:uid="{4875B9A8-6C22-442E-A560-82BB8798F8BE}">
      <formula1>0</formula1>
      <formula2>IF($Q33=0,0,999999999)</formula2>
    </dataValidation>
    <dataValidation type="whole" allowBlank="1" showInputMessage="1" showErrorMessage="1" errorTitle="Maximum Loan Term Exceeded" error="Loan term must not exceed 40 years." sqref="D8:I8" xr:uid="{466DF6E2-C810-4F3B-AD67-16ECC3A3B744}">
      <formula1>0</formula1>
      <formula2>40</formula2>
    </dataValidation>
    <dataValidation type="list" allowBlank="1" showInputMessage="1" showErrorMessage="1" sqref="G3" xr:uid="{613F2C1A-7114-46AA-9452-63EBF40BC293}">
      <formula1>"5,6"</formula1>
    </dataValidation>
    <dataValidation type="custom" allowBlank="1" showErrorMessage="1" errorTitle="Household Details Required" error="Income details may only be entered when household details have been entered for that applicant." prompt="I" sqref="D33 D35:D36 D34" xr:uid="{BE2DE119-5597-42AF-B85E-A56DDB6426BF}">
      <formula1>Q33&lt;&gt;0</formula1>
    </dataValidation>
    <dataValidation type="custom" allowBlank="1" showErrorMessage="1" errorTitle="Household Details Required" error="Income details may only be entered when household details have been entered for that applicant." prompt="I" sqref="E34" xr:uid="{0C548B61-7005-455E-8CD5-250CCC279609}">
      <formula1>Q33&lt;&gt;0</formula1>
    </dataValidation>
    <dataValidation type="custom" allowBlank="1" showErrorMessage="1" errorTitle="Household Details Required" error="Income details may only be entered when household details have been entered for that applicant." prompt="I" sqref="E36 E35" xr:uid="{E723AFA9-02F2-496B-91B2-6AC2E2904B91}">
      <formula1>Q35&lt;&gt;0</formula1>
    </dataValidation>
    <dataValidation type="custom" allowBlank="1" showInputMessage="1" showErrorMessage="1" errorTitle="Household details required" error="Income details may only be entered when household details have been entered for that applicant." sqref="E33" xr:uid="{BA8ED44F-1840-4B9A-BAA7-D68D477196B2}">
      <formula1>Q33&lt;&gt;0</formula1>
    </dataValidation>
  </dataValidations>
  <pageMargins left="0.7" right="0.7" top="0.75" bottom="0.75" header="0.3" footer="0.3"/>
  <pageSetup paperSize="9" scale="49" orientation="portrait" cellComments="atEnd"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locked="0" defaultSize="0" print="0" autoFill="0" autoPict="0" macro="[0]!Sheet24.ClearUnlockedCells">
                <anchor moveWithCells="1">
                  <from>
                    <xdr:col>3</xdr:col>
                    <xdr:colOff>971550</xdr:colOff>
                    <xdr:row>0</xdr:row>
                    <xdr:rowOff>409575</xdr:rowOff>
                  </from>
                  <to>
                    <xdr:col>4</xdr:col>
                    <xdr:colOff>800100</xdr:colOff>
                    <xdr:row>0</xdr:row>
                    <xdr:rowOff>866775</xdr:rowOff>
                  </to>
                </anchor>
              </controlPr>
            </control>
          </mc:Choice>
        </mc:AlternateContent>
        <mc:AlternateContent xmlns:mc="http://schemas.openxmlformats.org/markup-compatibility/2006">
          <mc:Choice Requires="x14">
            <control shapeId="3075" r:id="rId5" name="Button 3">
              <controlPr locked="0" defaultSize="0" print="0" autoFill="0" autoPict="0" macro="[0]!Macro1">
                <anchor moveWithCells="1">
                  <from>
                    <xdr:col>4</xdr:col>
                    <xdr:colOff>1152525</xdr:colOff>
                    <xdr:row>0</xdr:row>
                    <xdr:rowOff>419100</xdr:rowOff>
                  </from>
                  <to>
                    <xdr:col>5</xdr:col>
                    <xdr:colOff>962025</xdr:colOff>
                    <xdr:row>0</xdr:row>
                    <xdr:rowOff>866775</xdr:rowOff>
                  </to>
                </anchor>
              </controlPr>
            </control>
          </mc:Choice>
        </mc:AlternateContent>
        <mc:AlternateContent xmlns:mc="http://schemas.openxmlformats.org/markup-compatibility/2006">
          <mc:Choice Requires="x14">
            <control shapeId="3077" r:id="rId6" name="S_E_Worksheet">
              <controlPr defaultSize="0" print="0" autoFill="0" autoPict="0" macro="[0]!S_E_Worksheet_Click">
                <anchor moveWithCells="1" sizeWithCells="1">
                  <from>
                    <xdr:col>2</xdr:col>
                    <xdr:colOff>676275</xdr:colOff>
                    <xdr:row>48</xdr:row>
                    <xdr:rowOff>47625</xdr:rowOff>
                  </from>
                  <to>
                    <xdr:col>3</xdr:col>
                    <xdr:colOff>142875</xdr:colOff>
                    <xdr:row>49</xdr:row>
                    <xdr:rowOff>133350</xdr:rowOff>
                  </to>
                </anchor>
              </controlPr>
            </control>
          </mc:Choice>
        </mc:AlternateContent>
        <mc:AlternateContent xmlns:mc="http://schemas.openxmlformats.org/markup-compatibility/2006">
          <mc:Choice Requires="x14">
            <control shapeId="3078" r:id="rId7" name="S_E_Worksheet">
              <controlPr defaultSize="0" print="0" autoFill="0" autoPict="0" macro="[0]!Sheet10.R_G_Worksheet_Click">
                <anchor moveWithCells="1" sizeWithCells="1">
                  <from>
                    <xdr:col>4</xdr:col>
                    <xdr:colOff>1409700</xdr:colOff>
                    <xdr:row>36</xdr:row>
                    <xdr:rowOff>47625</xdr:rowOff>
                  </from>
                  <to>
                    <xdr:col>5</xdr:col>
                    <xdr:colOff>1695450</xdr:colOff>
                    <xdr:row>38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483288CC-74B4-4532-9C47-C920EEC955A0}">
          <x14:formula1>
            <xm:f>RepayCalculator!$F$12:$F$15</xm:f>
          </x14:formula1>
          <xm:sqref>E20:E23</xm:sqref>
        </x14:dataValidation>
        <x14:dataValidation type="list" allowBlank="1" showInputMessage="1" showErrorMessage="1" xr:uid="{F9645F67-F166-40DB-B02D-665F523E172E}">
          <x14:formula1>
            <xm:f>RepayCalculator!$E$12:$E$13</xm:f>
          </x14:formula1>
          <xm:sqref>F20:F23</xm:sqref>
        </x14:dataValidation>
        <x14:dataValidation type="list" allowBlank="1" showInputMessage="1" showErrorMessage="1" xr:uid="{40A8812B-EC1A-4750-A230-6A72A51108C5}">
          <x14:formula1>
            <xm:f>RepayCalculator!$G$12:$G$22</xm:f>
          </x14:formula1>
          <xm:sqref>F20 G20:I30 J24:J30</xm:sqref>
        </x14:dataValidation>
        <x14:dataValidation type="list" allowBlank="1" showInputMessage="1" showErrorMessage="1" xr:uid="{3AC99426-5165-4BE7-A754-B34C629AF7ED}">
          <x14:formula1>
            <xm:f>RepayCalculator!$C$12:$C$20</xm:f>
          </x14:formula1>
          <xm:sqref>C81:C91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1F882-A4D9-483B-8464-86619E906054}">
  <sheetPr codeName="Sheet26">
    <pageSetUpPr fitToPage="1"/>
  </sheetPr>
  <dimension ref="C1:R123"/>
  <sheetViews>
    <sheetView topLeftCell="A6" zoomScale="96" zoomScaleNormal="96" workbookViewId="0">
      <selection activeCell="D49" sqref="D49"/>
    </sheetView>
  </sheetViews>
  <sheetFormatPr defaultColWidth="11.42578125" defaultRowHeight="12.75"/>
  <cols>
    <col min="1" max="1" width="6.42578125" style="256" customWidth="1"/>
    <col min="2" max="2" width="4.7109375" style="256" customWidth="1"/>
    <col min="3" max="3" width="43.42578125" style="256" customWidth="1"/>
    <col min="4" max="4" width="25.5703125" style="256" customWidth="1"/>
    <col min="5" max="7" width="26" style="256" customWidth="1"/>
    <col min="8" max="8" width="14.7109375" style="256" customWidth="1"/>
    <col min="9" max="9" width="28.140625" style="256" hidden="1" customWidth="1"/>
    <col min="10" max="10" width="25.7109375" style="256" hidden="1" customWidth="1"/>
    <col min="11" max="11" width="32.7109375" style="256" hidden="1" customWidth="1"/>
    <col min="12" max="12" width="16.28515625" style="256" hidden="1" customWidth="1"/>
    <col min="13" max="13" width="11.42578125" style="256" hidden="1" customWidth="1"/>
    <col min="14" max="14" width="35" style="256" hidden="1" customWidth="1"/>
    <col min="15" max="16" width="25.42578125" style="256" hidden="1" customWidth="1"/>
    <col min="17" max="26" width="11.42578125" style="256" customWidth="1"/>
    <col min="27" max="16384" width="11.42578125" style="256"/>
  </cols>
  <sheetData>
    <row r="1" spans="3:18" ht="85.5" customHeight="1">
      <c r="C1" s="275"/>
      <c r="E1" s="275"/>
      <c r="F1" s="276"/>
      <c r="G1" s="276"/>
      <c r="H1" s="276"/>
      <c r="I1" s="277"/>
      <c r="J1" s="277"/>
      <c r="K1" s="277"/>
      <c r="N1" s="275"/>
      <c r="O1" s="278"/>
      <c r="P1" s="278"/>
    </row>
    <row r="2" spans="3:18" ht="18.75" customHeight="1">
      <c r="C2" s="16" t="s">
        <v>1049</v>
      </c>
      <c r="E2" s="279"/>
      <c r="F2" s="769"/>
      <c r="G2" s="769"/>
      <c r="I2" s="277"/>
      <c r="J2" s="277"/>
      <c r="K2" s="277"/>
      <c r="N2" s="279"/>
      <c r="O2" s="280" t="s">
        <v>288</v>
      </c>
      <c r="P2" s="280"/>
      <c r="R2" s="394"/>
    </row>
    <row r="3" spans="3:18">
      <c r="I3" s="281"/>
      <c r="J3" s="249"/>
      <c r="K3" s="249"/>
      <c r="L3" s="279"/>
    </row>
    <row r="4" spans="3:18" ht="15">
      <c r="C4" s="689" t="s">
        <v>269</v>
      </c>
      <c r="D4" s="690" t="s">
        <v>268</v>
      </c>
      <c r="E4" s="690" t="s">
        <v>267</v>
      </c>
      <c r="F4" s="688" t="s">
        <v>266</v>
      </c>
      <c r="H4" s="282"/>
      <c r="I4" s="281"/>
      <c r="J4" s="249"/>
      <c r="K4" s="249"/>
      <c r="L4" s="279"/>
      <c r="N4" s="239"/>
      <c r="O4" s="283"/>
      <c r="P4" s="283"/>
    </row>
    <row r="5" spans="3:18" ht="15">
      <c r="C5" s="544" t="s">
        <v>289</v>
      </c>
      <c r="D5" s="151"/>
      <c r="E5" s="151"/>
      <c r="F5" s="151"/>
      <c r="H5" s="284"/>
      <c r="I5" s="281"/>
      <c r="J5" s="249"/>
      <c r="K5" s="249"/>
      <c r="L5" s="279"/>
      <c r="N5" s="209"/>
      <c r="O5" s="205"/>
      <c r="P5" s="285"/>
    </row>
    <row r="6" spans="3:18" ht="15">
      <c r="C6" s="544" t="s">
        <v>265</v>
      </c>
      <c r="D6" s="545" t="str">
        <f>IF(D8=0,"",IF(D8&gt;D9,"Principal &amp; Interest","Interest Only"))</f>
        <v/>
      </c>
      <c r="E6" s="545" t="str">
        <f>IF(E8=0,"",IF(E8&gt;E9,"Principal &amp; Interest","Interest Only"))</f>
        <v/>
      </c>
      <c r="F6" s="545" t="str">
        <f>IF(F8=0,"",IF(F8&gt;F9,"Principal &amp; Interest","Interest Only"))</f>
        <v/>
      </c>
      <c r="H6" s="286"/>
      <c r="I6" s="281"/>
      <c r="J6" s="249"/>
      <c r="K6" s="249"/>
      <c r="L6" s="279"/>
      <c r="N6" s="219"/>
      <c r="O6" s="287"/>
      <c r="P6" s="287"/>
    </row>
    <row r="7" spans="3:18" ht="15">
      <c r="C7" s="544" t="s">
        <v>262</v>
      </c>
      <c r="D7" s="160"/>
      <c r="E7" s="160"/>
      <c r="F7" s="160"/>
      <c r="H7" s="284"/>
      <c r="I7" s="281"/>
      <c r="J7" s="249"/>
      <c r="K7" s="249"/>
      <c r="L7" s="279"/>
      <c r="N7" s="209"/>
      <c r="O7" s="205"/>
      <c r="P7" s="285"/>
    </row>
    <row r="8" spans="3:18" ht="15">
      <c r="C8" s="544" t="s">
        <v>264</v>
      </c>
      <c r="D8" s="152"/>
      <c r="E8" s="152"/>
      <c r="F8" s="152"/>
      <c r="H8" s="284"/>
      <c r="I8" s="281"/>
      <c r="J8" s="249"/>
      <c r="K8" s="249"/>
      <c r="L8" s="279"/>
      <c r="N8" s="219"/>
      <c r="O8" s="205"/>
      <c r="P8" s="287"/>
    </row>
    <row r="9" spans="3:18" ht="15">
      <c r="C9" s="544" t="s">
        <v>263</v>
      </c>
      <c r="D9" s="152"/>
      <c r="E9" s="152"/>
      <c r="F9" s="152"/>
      <c r="H9" s="288"/>
      <c r="I9" s="281"/>
      <c r="J9" s="249"/>
      <c r="K9" s="249"/>
      <c r="L9" s="279"/>
      <c r="N9" s="209"/>
      <c r="O9" s="205"/>
      <c r="P9" s="196"/>
    </row>
    <row r="10" spans="3:18" ht="15">
      <c r="C10" s="544" t="s">
        <v>261</v>
      </c>
      <c r="D10" s="395"/>
      <c r="E10" s="396"/>
      <c r="F10" s="396"/>
      <c r="H10" s="289"/>
      <c r="I10" s="281"/>
      <c r="J10" s="249"/>
      <c r="K10" s="290"/>
      <c r="L10" s="279"/>
      <c r="N10" s="209"/>
      <c r="O10" s="205"/>
      <c r="P10" s="291"/>
    </row>
    <row r="11" spans="3:18" ht="15">
      <c r="C11" s="544" t="s">
        <v>791</v>
      </c>
      <c r="D11" s="546">
        <f>D7*D10/12</f>
        <v>0</v>
      </c>
      <c r="E11" s="546">
        <f>E7*E10/12</f>
        <v>0</v>
      </c>
      <c r="F11" s="546">
        <f>F7*F10/12</f>
        <v>0</v>
      </c>
      <c r="H11" s="289"/>
      <c r="I11" s="281"/>
      <c r="J11" s="249"/>
      <c r="K11" s="290"/>
      <c r="L11" s="279"/>
      <c r="N11" s="209"/>
      <c r="O11" s="205"/>
      <c r="P11" s="291"/>
    </row>
    <row r="12" spans="3:18" ht="15">
      <c r="C12" s="544" t="s">
        <v>260</v>
      </c>
      <c r="D12" s="547">
        <f>IFERROR(IF(D$6="",0,(IF(D$6="Principal &amp; Interest",-PMT(D$10/12,(D$8-D$9)*12,D$7,0,0),((D$7*D$10)/12)))),0)</f>
        <v>0</v>
      </c>
      <c r="E12" s="547">
        <f>IFERROR(IF(E$6="",0,(IF(E$6="Principal &amp; Interest",-PMT(E$10/12,(E$8-E$9)*12,E$7,0,0),((E$7*E$10)/12)))),0)</f>
        <v>0</v>
      </c>
      <c r="F12" s="547">
        <f>IFERROR(IF(F$6="",0,(IF(F$6="Principal &amp; Interest",-PMT(F$10/12,(F$8-F$9)*12,F$7,0,0),((F$7*F$10)/12)))),0)</f>
        <v>0</v>
      </c>
      <c r="G12" s="548">
        <f>SUM(D12:F12)</f>
        <v>0</v>
      </c>
      <c r="I12" s="281"/>
      <c r="J12" s="249"/>
      <c r="K12" s="290"/>
      <c r="L12" s="279"/>
      <c r="N12" s="209"/>
      <c r="O12" s="205"/>
      <c r="P12" s="196"/>
    </row>
    <row r="13" spans="3:18" ht="14.25" customHeight="1">
      <c r="C13" s="544" t="s">
        <v>853</v>
      </c>
      <c r="D13" s="549">
        <f>IF(D10+RepayCalculator!$B$6&gt;RepayCalculator!$B$8,D10+RepayCalculator!$B$6,RepayCalculator!$B$8)</f>
        <v>5.2900000000000003E-2</v>
      </c>
      <c r="E13" s="549">
        <f>IF(E10+RepayCalculator!$B$6&gt;RepayCalculator!$B$8,E10+RepayCalculator!$B$6,RepayCalculator!$B$8)</f>
        <v>5.2900000000000003E-2</v>
      </c>
      <c r="F13" s="549">
        <f>IF(F10+RepayCalculator!$B$6&gt;RepayCalculator!$B$8,F10+RepayCalculator!$B$6,RepayCalculator!$B$8)</f>
        <v>5.2900000000000003E-2</v>
      </c>
      <c r="G13" s="550">
        <f>G14-G12</f>
        <v>0</v>
      </c>
      <c r="I13" s="281"/>
      <c r="J13" s="249"/>
      <c r="K13" s="290"/>
      <c r="L13" s="279"/>
      <c r="N13" s="292"/>
      <c r="O13" s="205"/>
      <c r="P13" s="293"/>
    </row>
    <row r="14" spans="3:18" ht="14.25" customHeight="1">
      <c r="C14" s="551" t="s">
        <v>259</v>
      </c>
      <c r="D14" s="552">
        <f>IFERROR(IF(D$6="",0,(IF(D$6="Principal &amp; Interest",-PMT(D$13/12,(D$8-D$9)*12,D$7,0,0),((D$7*D$13)/12)))),0)</f>
        <v>0</v>
      </c>
      <c r="E14" s="552">
        <f>IFERROR(IF(E$6="",0,(IF(E$6="Principal &amp; Interest",-PMT(E$13/12,(E$8-E$9)*12,E$7,0,0),((E$7*E$13)/12)))),0)</f>
        <v>0</v>
      </c>
      <c r="F14" s="552">
        <f>IFERROR(IF(F$6="",0,(IF(F$6="Principal &amp; Interest",-PMT(F$13/12,(F$8-F$9)*12,F$7,0,0),((F$7*F$13)/12)))),0)</f>
        <v>0</v>
      </c>
      <c r="G14" s="553">
        <f>SUM(D14:F14)</f>
        <v>0</v>
      </c>
      <c r="I14" s="281"/>
      <c r="J14" s="249"/>
      <c r="K14" s="290"/>
      <c r="L14" s="279"/>
      <c r="N14" s="292"/>
      <c r="O14" s="205"/>
      <c r="P14" s="293"/>
    </row>
    <row r="15" spans="3:18" ht="14.25" hidden="1" customHeight="1">
      <c r="C15" s="554" t="s">
        <v>854</v>
      </c>
      <c r="D15" s="555">
        <f>IF(D10+RepayCalculator!$B$6&gt;RepayCalculator!$B$8,D10+RepayCalculator!$B$6,RepayCalculator!$B$8)</f>
        <v>5.2900000000000003E-2</v>
      </c>
      <c r="E15" s="555">
        <f>IF(E10+RepayCalculator!$B$6&gt;RepayCalculator!$B$8,E10+RepayCalculator!$B$6,RepayCalculator!$B$8)</f>
        <v>5.2900000000000003E-2</v>
      </c>
      <c r="F15" s="555">
        <f>IF(F10+RepayCalculator!$B$6&gt;RepayCalculator!$B$8,F10+RepayCalculator!$B$6,RepayCalculator!$B$8)</f>
        <v>5.2900000000000003E-2</v>
      </c>
      <c r="G15" s="587">
        <f>G16-G12</f>
        <v>0</v>
      </c>
      <c r="I15" s="281"/>
      <c r="J15" s="249"/>
      <c r="K15" s="290"/>
      <c r="L15" s="279"/>
      <c r="N15" s="292"/>
      <c r="O15" s="205"/>
      <c r="P15" s="293"/>
    </row>
    <row r="16" spans="3:18" ht="14.25" hidden="1" customHeight="1">
      <c r="C16" s="556" t="s">
        <v>855</v>
      </c>
      <c r="D16" s="552">
        <f>D7*D15/12</f>
        <v>0</v>
      </c>
      <c r="E16" s="552">
        <f>E7*E15/12</f>
        <v>0</v>
      </c>
      <c r="F16" s="552">
        <f>F7*F15/12</f>
        <v>0</v>
      </c>
      <c r="G16" s="588">
        <f>SUM(D16:F16)</f>
        <v>0</v>
      </c>
      <c r="I16" s="281"/>
      <c r="J16" s="249"/>
      <c r="K16" s="249"/>
      <c r="L16" s="279"/>
      <c r="N16" s="294"/>
      <c r="O16" s="205"/>
      <c r="P16" s="226"/>
    </row>
    <row r="17" spans="3:16" ht="12" customHeight="1">
      <c r="C17" s="209"/>
      <c r="E17" s="249"/>
      <c r="F17" s="249"/>
      <c r="G17" s="249"/>
      <c r="H17" s="249"/>
      <c r="I17" s="281"/>
      <c r="J17" s="249"/>
      <c r="K17" s="249"/>
      <c r="L17" s="279"/>
      <c r="N17" s="294"/>
      <c r="O17" s="205"/>
      <c r="P17" s="226"/>
    </row>
    <row r="18" spans="3:16" ht="12" customHeight="1">
      <c r="C18" s="209"/>
      <c r="E18" s="249"/>
      <c r="F18" s="249"/>
      <c r="G18" s="249"/>
      <c r="H18" s="249"/>
      <c r="I18" s="281"/>
      <c r="J18" s="249"/>
      <c r="K18" s="249"/>
      <c r="L18" s="279"/>
      <c r="N18" s="294"/>
      <c r="O18" s="205"/>
      <c r="P18" s="226"/>
    </row>
    <row r="19" spans="3:16" ht="15">
      <c r="C19" s="691" t="s">
        <v>98</v>
      </c>
      <c r="D19" s="688" t="s">
        <v>291</v>
      </c>
      <c r="E19" s="688" t="s">
        <v>287</v>
      </c>
      <c r="F19" s="688" t="s">
        <v>101</v>
      </c>
      <c r="G19" s="688" t="s">
        <v>105</v>
      </c>
      <c r="H19" s="282"/>
      <c r="I19" s="281"/>
      <c r="J19" s="249"/>
      <c r="K19" s="249"/>
      <c r="L19" s="279"/>
      <c r="N19" s="239"/>
      <c r="O19" s="283"/>
      <c r="P19" s="283"/>
    </row>
    <row r="20" spans="3:16" ht="15">
      <c r="C20" s="557" t="s">
        <v>92</v>
      </c>
      <c r="D20" s="378"/>
      <c r="E20" s="153"/>
      <c r="F20" s="153"/>
      <c r="G20" s="477"/>
      <c r="I20" s="281"/>
      <c r="J20" s="249"/>
      <c r="K20" s="766"/>
      <c r="L20" s="767"/>
      <c r="N20" s="209"/>
      <c r="O20" s="296"/>
      <c r="P20" s="196"/>
    </row>
    <row r="21" spans="3:16" ht="15">
      <c r="C21" s="558" t="s">
        <v>90</v>
      </c>
      <c r="D21" s="378"/>
      <c r="E21" s="379"/>
      <c r="F21" s="379"/>
      <c r="G21" s="379"/>
      <c r="I21" s="281"/>
      <c r="J21" s="249"/>
      <c r="K21" s="767"/>
      <c r="L21" s="767"/>
      <c r="N21" s="209"/>
      <c r="O21" s="296"/>
      <c r="P21" s="196"/>
    </row>
    <row r="22" spans="3:16" ht="15">
      <c r="C22" s="558" t="s">
        <v>89</v>
      </c>
      <c r="D22" s="274"/>
      <c r="E22" s="153"/>
      <c r="F22" s="153"/>
      <c r="G22" s="153"/>
      <c r="I22" s="281"/>
      <c r="J22" s="249"/>
      <c r="K22" s="767"/>
      <c r="L22" s="767"/>
      <c r="N22" s="209"/>
      <c r="O22" s="296"/>
      <c r="P22" s="196"/>
    </row>
    <row r="23" spans="3:16" ht="15">
      <c r="C23" s="551" t="s">
        <v>88</v>
      </c>
      <c r="D23" s="274"/>
      <c r="E23" s="153"/>
      <c r="F23" s="153"/>
      <c r="G23" s="153"/>
      <c r="I23" s="281"/>
      <c r="J23" s="297"/>
      <c r="K23" s="767"/>
      <c r="L23" s="767"/>
      <c r="N23" s="209"/>
      <c r="O23" s="296"/>
      <c r="P23" s="196"/>
    </row>
    <row r="24" spans="3:16" ht="12.75" hidden="1" customHeight="1">
      <c r="C24" s="209"/>
      <c r="E24" s="209"/>
      <c r="F24" s="200"/>
      <c r="G24" s="295"/>
      <c r="I24" s="281"/>
      <c r="J24" s="297"/>
      <c r="K24" s="767"/>
      <c r="L24" s="767"/>
      <c r="N24" s="209"/>
      <c r="O24" s="196"/>
      <c r="P24" s="196"/>
    </row>
    <row r="25" spans="3:16" ht="12.75" hidden="1" customHeight="1">
      <c r="C25" s="237" t="s">
        <v>104</v>
      </c>
      <c r="E25" s="203" t="s">
        <v>101</v>
      </c>
      <c r="F25" s="203" t="s">
        <v>105</v>
      </c>
      <c r="G25" s="295"/>
      <c r="H25" s="205"/>
      <c r="I25" s="203" t="s">
        <v>108</v>
      </c>
      <c r="J25" s="297"/>
      <c r="K25" s="767"/>
      <c r="L25" s="767"/>
      <c r="N25" s="237"/>
      <c r="O25" s="196" t="s">
        <v>106</v>
      </c>
      <c r="P25" s="196" t="s">
        <v>107</v>
      </c>
    </row>
    <row r="26" spans="3:16" ht="12.75" hidden="1" customHeight="1">
      <c r="C26" s="194" t="s">
        <v>109</v>
      </c>
      <c r="E26" s="203" t="str">
        <f>_xlfn.IFNA(VLOOKUP(C26,$E$20:$F$23,2,FALSE),"N/A")</f>
        <v>N/A</v>
      </c>
      <c r="F26" s="203">
        <f>SUMIF($E$20:$E$23,C26,$G$20:$G$23)</f>
        <v>0</v>
      </c>
      <c r="G26" s="295"/>
      <c r="H26" s="205" t="str">
        <f>LOOKUP(P26,HEM!$C$9:$P$9,HEM!$C$7:$P$7)</f>
        <v>2</v>
      </c>
      <c r="I26" s="254">
        <f>_xlfn.IFNA(VLOOKUP(O26,HEM!$B$12:$P$34,H26,FALSE),0)*52/12</f>
        <v>0</v>
      </c>
      <c r="J26" s="297"/>
      <c r="K26" s="767"/>
      <c r="L26" s="767"/>
      <c r="N26" s="194"/>
      <c r="O26" s="196" t="str">
        <f>E26&amp;" with "&amp;F26&amp;" children"</f>
        <v>N/A with 0 children</v>
      </c>
      <c r="P26" s="196">
        <f>SUMIF($N$33:$N$36,C26,$D$33:$D$36)+SUMIF($N$40:$N$43,C26,$P$40:$P$43)+SUMIF($N$33:$N$36,C26,$E$33:$E$36)</f>
        <v>0</v>
      </c>
    </row>
    <row r="27" spans="3:16" ht="12.75" hidden="1" customHeight="1">
      <c r="C27" s="194" t="s">
        <v>100</v>
      </c>
      <c r="E27" s="203" t="str">
        <f>_xlfn.IFNA(VLOOKUP(C27,$E$20:$F$23,2,FALSE),"N/A")</f>
        <v>N/A</v>
      </c>
      <c r="F27" s="203">
        <f>SUMIF($E$20:$E$23,C27,$G$20:$G$23)</f>
        <v>0</v>
      </c>
      <c r="G27" s="295"/>
      <c r="H27" s="205" t="str">
        <f>LOOKUP(P27,HEM!$C$9:$P$9,HEM!$C$7:$P$7)</f>
        <v>2</v>
      </c>
      <c r="I27" s="254">
        <f>_xlfn.IFNA(VLOOKUP(O27,HEM!$B$12:$P$34,H27,FALSE),0)*52/12</f>
        <v>0</v>
      </c>
      <c r="J27" s="297"/>
      <c r="K27" s="767"/>
      <c r="L27" s="767"/>
      <c r="N27" s="194"/>
      <c r="O27" s="196" t="str">
        <f>E27&amp;" with "&amp;F27&amp;" children"</f>
        <v>N/A with 0 children</v>
      </c>
      <c r="P27" s="196">
        <f>SUMIF($N$33:$N$36,C27,$D$33:$D$36)+SUMIF($N$40:$N$43,C27,$P$40:$P$43)+SUMIF($N$33:$N$36,C27,$E$33:$E$36)</f>
        <v>0</v>
      </c>
    </row>
    <row r="28" spans="3:16" ht="12.75" hidden="1" customHeight="1">
      <c r="C28" s="194" t="s">
        <v>110</v>
      </c>
      <c r="E28" s="203" t="str">
        <f>_xlfn.IFNA(VLOOKUP(C28,$E$20:$F$23,2,FALSE),"N/A")</f>
        <v>N/A</v>
      </c>
      <c r="F28" s="203">
        <f>SUMIF($E$20:$E$23,C28,$G$20:$G$23)</f>
        <v>0</v>
      </c>
      <c r="G28" s="295"/>
      <c r="H28" s="205" t="str">
        <f>LOOKUP(P28,HEM!$C$9:$P$9,HEM!$C$7:$P$7)</f>
        <v>2</v>
      </c>
      <c r="I28" s="254">
        <f>_xlfn.IFNA(VLOOKUP(O28,HEM!$B$12:$P$34,H28,FALSE),0)*52/12</f>
        <v>0</v>
      </c>
      <c r="J28" s="297"/>
      <c r="K28" s="767"/>
      <c r="L28" s="767"/>
      <c r="N28" s="194"/>
      <c r="O28" s="196" t="str">
        <f>E28&amp;" with "&amp;F28&amp;" children"</f>
        <v>N/A with 0 children</v>
      </c>
      <c r="P28" s="196">
        <f>SUMIF($N$33:$N$36,C28,$D$33:$D$36)+SUMIF($N$40:$N$43,C28,$P$40:$P$43)+SUMIF($N$33:$N$36,C28,$E$33:$E$36)</f>
        <v>0</v>
      </c>
    </row>
    <row r="29" spans="3:16" ht="12.75" hidden="1" customHeight="1">
      <c r="C29" s="194" t="s">
        <v>111</v>
      </c>
      <c r="E29" s="203" t="str">
        <f>_xlfn.IFNA(VLOOKUP(C29,$E$20:$F$23,2,FALSE),"N/A")</f>
        <v>N/A</v>
      </c>
      <c r="F29" s="203">
        <f>SUMIF($E$20:$E$23,C29,$G$20:$G$23)</f>
        <v>0</v>
      </c>
      <c r="G29" s="295"/>
      <c r="H29" s="205" t="str">
        <f>LOOKUP(P29,HEM!$C$9:$P$9,HEM!$C$7:$P$7)</f>
        <v>2</v>
      </c>
      <c r="I29" s="254">
        <f>_xlfn.IFNA(VLOOKUP(O29,HEM!$B$12:$P$34,H29,FALSE),0)*52/12</f>
        <v>0</v>
      </c>
      <c r="J29" s="297"/>
      <c r="K29" s="767"/>
      <c r="L29" s="767"/>
      <c r="N29" s="194"/>
      <c r="O29" s="196" t="str">
        <f>E29&amp;" with "&amp;F29&amp;" children"</f>
        <v>N/A with 0 children</v>
      </c>
      <c r="P29" s="196">
        <f>SUMIF($N$33:$N$36,C29,$D$33:$D$36)+SUMIF($N$40:$N$43,C29,$P$40:$P$43)+SUMIF($N$33:$N$36,C29,$E$33:$E$36)</f>
        <v>0</v>
      </c>
    </row>
    <row r="30" spans="3:16" ht="12.75" hidden="1" customHeight="1">
      <c r="C30" s="237" t="s">
        <v>112</v>
      </c>
      <c r="E30" s="194"/>
      <c r="F30" s="203"/>
      <c r="G30" s="295"/>
      <c r="H30" s="196"/>
      <c r="I30" s="298">
        <f>SUM(I26:I29)</f>
        <v>0</v>
      </c>
      <c r="J30" s="297"/>
      <c r="K30" s="767"/>
      <c r="L30" s="767"/>
      <c r="N30" s="237"/>
      <c r="O30" s="203"/>
      <c r="P30" s="196"/>
    </row>
    <row r="31" spans="3:16" ht="12" customHeight="1">
      <c r="K31" s="767"/>
      <c r="L31" s="767"/>
      <c r="N31" s="209"/>
      <c r="O31" s="196"/>
      <c r="P31" s="196"/>
    </row>
    <row r="32" spans="3:16" ht="17.25" customHeight="1">
      <c r="C32" s="692" t="s">
        <v>286</v>
      </c>
      <c r="D32" s="693" t="s">
        <v>64</v>
      </c>
      <c r="E32" s="693" t="s">
        <v>1051</v>
      </c>
      <c r="F32" s="693" t="s">
        <v>285</v>
      </c>
      <c r="G32" s="693" t="s">
        <v>116</v>
      </c>
      <c r="K32" s="767"/>
      <c r="L32" s="767"/>
      <c r="N32" s="239"/>
      <c r="O32" s="213" t="s">
        <v>114</v>
      </c>
      <c r="P32" s="213" t="s">
        <v>115</v>
      </c>
    </row>
    <row r="33" spans="3:16" ht="15">
      <c r="C33" s="559" t="s">
        <v>284</v>
      </c>
      <c r="D33" s="154"/>
      <c r="E33" s="154"/>
      <c r="F33" s="550">
        <f>'Rental &amp; Gearing (SME)'!I31</f>
        <v>0</v>
      </c>
      <c r="G33" s="550">
        <f>'Scales Tax'!$J$14+(P33/12)</f>
        <v>0</v>
      </c>
      <c r="L33" s="279"/>
      <c r="N33" s="209">
        <f>E20</f>
        <v>0</v>
      </c>
      <c r="O33" s="299">
        <f>D33+P40</f>
        <v>0</v>
      </c>
      <c r="P33" s="299">
        <f>(D40*12)+E33</f>
        <v>0</v>
      </c>
    </row>
    <row r="34" spans="3:16" ht="15">
      <c r="C34" s="559" t="s">
        <v>283</v>
      </c>
      <c r="D34" s="380"/>
      <c r="E34" s="380"/>
      <c r="F34" s="550">
        <f>'Rental &amp; Gearing (SME)'!I32</f>
        <v>0</v>
      </c>
      <c r="G34" s="550">
        <f>'Scales Tax'!$J$27+(P34/12)</f>
        <v>0</v>
      </c>
      <c r="L34" s="279"/>
      <c r="N34" s="209">
        <f>E21</f>
        <v>0</v>
      </c>
      <c r="O34" s="299">
        <f>D34+P41</f>
        <v>0</v>
      </c>
      <c r="P34" s="299">
        <f>(D41*12)+E34</f>
        <v>0</v>
      </c>
    </row>
    <row r="35" spans="3:16" ht="15">
      <c r="C35" s="559" t="s">
        <v>282</v>
      </c>
      <c r="D35" s="380"/>
      <c r="E35" s="380"/>
      <c r="F35" s="550">
        <f>'Rental &amp; Gearing (SME)'!I33</f>
        <v>0</v>
      </c>
      <c r="G35" s="550">
        <f>'Scales Tax'!$J$40+(P35/12)</f>
        <v>0</v>
      </c>
      <c r="L35" s="279"/>
      <c r="N35" s="209">
        <f>E22</f>
        <v>0</v>
      </c>
      <c r="O35" s="299">
        <f>D35+P42</f>
        <v>0</v>
      </c>
      <c r="P35" s="299">
        <f>(D42*12)+E35</f>
        <v>0</v>
      </c>
    </row>
    <row r="36" spans="3:16" ht="15">
      <c r="C36" s="560" t="s">
        <v>281</v>
      </c>
      <c r="D36" s="380"/>
      <c r="E36" s="380"/>
      <c r="F36" s="550">
        <f>'Rental &amp; Gearing (SME)'!I34</f>
        <v>0</v>
      </c>
      <c r="G36" s="550">
        <f>'Scales Tax'!$J$53+(P36/12)</f>
        <v>0</v>
      </c>
      <c r="L36" s="279"/>
      <c r="N36" s="209">
        <f>E23</f>
        <v>0</v>
      </c>
      <c r="O36" s="299">
        <f>D36+P43</f>
        <v>0</v>
      </c>
      <c r="P36" s="299">
        <f>(D43*12)+E36</f>
        <v>0</v>
      </c>
    </row>
    <row r="37" spans="3:16" ht="12.75" customHeight="1">
      <c r="C37" s="209"/>
      <c r="E37" s="209"/>
      <c r="F37" s="215"/>
      <c r="G37" s="561">
        <f>SUM(G33:G36)</f>
        <v>0</v>
      </c>
      <c r="L37" s="279"/>
      <c r="N37" s="209">
        <f>E24</f>
        <v>0</v>
      </c>
      <c r="O37" s="300"/>
      <c r="P37" s="217"/>
    </row>
    <row r="38" spans="3:16" ht="12.75" hidden="1" customHeight="1">
      <c r="C38" s="219"/>
      <c r="E38" s="219"/>
      <c r="F38" s="220"/>
      <c r="G38" s="220"/>
      <c r="H38" s="243"/>
      <c r="K38" s="249"/>
      <c r="L38" s="279"/>
      <c r="N38" s="219"/>
      <c r="O38" s="196"/>
      <c r="P38" s="196"/>
    </row>
    <row r="39" spans="3:16" ht="30">
      <c r="C39" s="694" t="s">
        <v>280</v>
      </c>
      <c r="D39" s="695" t="s">
        <v>119</v>
      </c>
      <c r="G39" s="225"/>
      <c r="K39" s="249"/>
      <c r="L39" s="279"/>
      <c r="N39" s="302"/>
      <c r="O39" s="227" t="s">
        <v>120</v>
      </c>
      <c r="P39" s="227" t="s">
        <v>121</v>
      </c>
    </row>
    <row r="40" spans="3:16">
      <c r="C40" s="562" t="s">
        <v>279</v>
      </c>
      <c r="D40" s="550">
        <f>'Rental &amp; Gearing (SME)'!J31/12</f>
        <v>0</v>
      </c>
      <c r="G40" s="220"/>
      <c r="I40" s="301"/>
      <c r="J40" s="249"/>
      <c r="K40" s="249"/>
      <c r="L40" s="279"/>
      <c r="N40" s="209">
        <f>E20</f>
        <v>0</v>
      </c>
      <c r="O40" s="303">
        <f>F33*RepayCalculator!$B$43</f>
        <v>0</v>
      </c>
      <c r="P40" s="303">
        <f>O40-(D40*12)</f>
        <v>0</v>
      </c>
    </row>
    <row r="41" spans="3:16">
      <c r="C41" s="562" t="s">
        <v>278</v>
      </c>
      <c r="D41" s="550">
        <f>'Rental &amp; Gearing (SME)'!J32/12</f>
        <v>0</v>
      </c>
      <c r="G41" s="220"/>
      <c r="I41" s="301"/>
      <c r="J41" s="249"/>
      <c r="K41" s="249"/>
      <c r="L41" s="279"/>
      <c r="N41" s="209">
        <f>E21</f>
        <v>0</v>
      </c>
      <c r="O41" s="303">
        <f>F34*RepayCalculator!$B$43</f>
        <v>0</v>
      </c>
      <c r="P41" s="303">
        <f>O41-(D41*12)</f>
        <v>0</v>
      </c>
    </row>
    <row r="42" spans="3:16">
      <c r="C42" s="562" t="s">
        <v>277</v>
      </c>
      <c r="D42" s="550">
        <f>'Rental &amp; Gearing (SME)'!J33/12</f>
        <v>0</v>
      </c>
      <c r="G42" s="220"/>
      <c r="I42" s="301"/>
      <c r="J42" s="249"/>
      <c r="K42" s="249"/>
      <c r="L42" s="279"/>
      <c r="N42" s="209">
        <f>E22</f>
        <v>0</v>
      </c>
      <c r="O42" s="303">
        <f>F35*RepayCalculator!$B$43</f>
        <v>0</v>
      </c>
      <c r="P42" s="303">
        <f>O42-(D42*12)</f>
        <v>0</v>
      </c>
    </row>
    <row r="43" spans="3:16">
      <c r="C43" s="563" t="s">
        <v>276</v>
      </c>
      <c r="D43" s="550">
        <f>'Rental &amp; Gearing (SME)'!J34/12</f>
        <v>0</v>
      </c>
      <c r="F43" s="256" t="s">
        <v>290</v>
      </c>
      <c r="G43" s="220"/>
      <c r="I43" s="301"/>
      <c r="J43" s="249"/>
      <c r="K43" s="249"/>
      <c r="L43" s="279"/>
      <c r="N43" s="209">
        <f>E23</f>
        <v>0</v>
      </c>
      <c r="O43" s="303">
        <f>F36*RepayCalculator!$B$43</f>
        <v>0</v>
      </c>
      <c r="P43" s="303">
        <f>O43-(D43*12)</f>
        <v>0</v>
      </c>
    </row>
    <row r="44" spans="3:16" hidden="1">
      <c r="C44" s="209"/>
      <c r="F44" s="220"/>
      <c r="G44" s="220"/>
      <c r="H44" s="220"/>
      <c r="I44" s="301"/>
      <c r="J44" s="249"/>
      <c r="K44" s="249"/>
      <c r="L44" s="279"/>
      <c r="N44" s="209"/>
      <c r="O44" s="196"/>
      <c r="P44" s="196"/>
    </row>
    <row r="45" spans="3:16">
      <c r="C45" s="209"/>
      <c r="F45" s="220"/>
      <c r="G45" s="220"/>
      <c r="H45" s="220"/>
      <c r="I45" s="281" t="s">
        <v>859</v>
      </c>
      <c r="J45" s="249" t="s">
        <v>860</v>
      </c>
      <c r="K45" s="249" t="s">
        <v>861</v>
      </c>
      <c r="L45" s="399"/>
      <c r="N45" s="209"/>
      <c r="O45" s="196"/>
      <c r="P45" s="196"/>
    </row>
    <row r="46" spans="3:16" ht="15" customHeight="1">
      <c r="C46" s="696" t="s">
        <v>919</v>
      </c>
      <c r="D46" s="697" t="s">
        <v>122</v>
      </c>
      <c r="E46" s="697" t="s">
        <v>916</v>
      </c>
      <c r="H46" s="297"/>
      <c r="I46" s="400"/>
      <c r="J46" s="256">
        <f>'Self Employed Calculator (SME)'!D34</f>
        <v>0</v>
      </c>
      <c r="K46" s="256">
        <f>'Self Employed Calculator (SME)'!D66</f>
        <v>0</v>
      </c>
      <c r="L46" s="290" t="s">
        <v>92</v>
      </c>
      <c r="N46" s="209"/>
      <c r="O46" s="232"/>
      <c r="P46" s="232"/>
    </row>
    <row r="47" spans="3:16" ht="15">
      <c r="C47" s="564" t="s">
        <v>80</v>
      </c>
      <c r="D47" s="550">
        <v>0</v>
      </c>
      <c r="E47" s="550">
        <v>0</v>
      </c>
      <c r="G47" s="550">
        <f>'Scales Tax'!$J$83+(P47/12)</f>
        <v>0</v>
      </c>
      <c r="I47" s="400"/>
      <c r="J47" s="256">
        <f>'Self Employed Calculator (SME)'!F34</f>
        <v>0</v>
      </c>
      <c r="K47" s="256">
        <f>'Self Employed Calculator (SME)'!F66</f>
        <v>0</v>
      </c>
      <c r="L47" s="290" t="s">
        <v>90</v>
      </c>
      <c r="N47" s="209"/>
      <c r="O47" s="303">
        <f>J54</f>
        <v>0</v>
      </c>
      <c r="P47" s="303">
        <f>E47</f>
        <v>0</v>
      </c>
    </row>
    <row r="48" spans="3:16" ht="15">
      <c r="C48" s="560" t="s">
        <v>79</v>
      </c>
      <c r="D48" s="550">
        <v>0</v>
      </c>
      <c r="E48" s="550">
        <v>0</v>
      </c>
      <c r="G48" s="550">
        <f>IF(_GTI_ST="Sole Trade Income","",'Scales Tax'!$J$90+(P48/12))</f>
        <v>0</v>
      </c>
      <c r="I48" s="400"/>
      <c r="J48" s="256">
        <f>'Self Employed Calculator (SME)'!H34</f>
        <v>0</v>
      </c>
      <c r="K48" s="256">
        <f>'Self Employed Calculator (SME)'!H66</f>
        <v>0</v>
      </c>
      <c r="L48" s="290" t="s">
        <v>89</v>
      </c>
      <c r="N48" s="209"/>
      <c r="O48" s="304">
        <f>J55</f>
        <v>0</v>
      </c>
      <c r="P48" s="303">
        <f>E48</f>
        <v>0</v>
      </c>
    </row>
    <row r="49" spans="3:16">
      <c r="C49" s="219"/>
      <c r="E49" s="219"/>
      <c r="F49" s="219"/>
      <c r="I49" s="400"/>
      <c r="J49" s="256">
        <f>'Self Employed Calculator (SME)'!J34</f>
        <v>0</v>
      </c>
      <c r="K49" s="256">
        <f>'Self Employed Calculator (SME)'!J66</f>
        <v>0</v>
      </c>
      <c r="L49" s="290" t="s">
        <v>88</v>
      </c>
      <c r="N49" s="219"/>
      <c r="O49" s="196"/>
      <c r="P49" s="305"/>
    </row>
    <row r="50" spans="3:16" ht="13.9" customHeight="1">
      <c r="C50" s="219"/>
      <c r="E50" s="219"/>
      <c r="F50" s="306"/>
      <c r="I50" s="301"/>
      <c r="J50" s="249"/>
      <c r="K50" s="249"/>
      <c r="L50" s="279"/>
      <c r="N50" s="219"/>
      <c r="O50" s="196"/>
      <c r="P50" s="196"/>
    </row>
    <row r="51" spans="3:16" ht="15">
      <c r="C51" s="746" t="s">
        <v>14</v>
      </c>
      <c r="D51" s="747"/>
      <c r="E51" s="747"/>
      <c r="F51" s="748"/>
      <c r="G51" s="550">
        <f>SUM(D33:D36)+SUM(E33:E36)+SUM(D47:D48)+SUM(E47:E48)+SUM(F33:F36)</f>
        <v>0</v>
      </c>
      <c r="I51" s="301"/>
      <c r="J51" s="249"/>
      <c r="K51" s="249"/>
      <c r="L51" s="279"/>
      <c r="N51" s="235"/>
      <c r="O51" s="196"/>
      <c r="P51" s="196"/>
    </row>
    <row r="52" spans="3:16" ht="15">
      <c r="C52" s="743" t="s">
        <v>793</v>
      </c>
      <c r="D52" s="744"/>
      <c r="E52" s="744"/>
      <c r="F52" s="745"/>
      <c r="G52" s="565">
        <f>+G37+SUM(G47:G48)</f>
        <v>0</v>
      </c>
      <c r="I52" s="301"/>
      <c r="L52" s="279"/>
      <c r="O52" s="196"/>
      <c r="P52" s="196"/>
    </row>
    <row r="53" spans="3:16" ht="15">
      <c r="C53" s="235"/>
      <c r="E53" s="235"/>
      <c r="F53" s="220"/>
      <c r="G53" s="220"/>
      <c r="H53" s="307"/>
      <c r="J53" s="697" t="s">
        <v>122</v>
      </c>
      <c r="K53" s="697" t="s">
        <v>916</v>
      </c>
      <c r="L53" s="279" t="str" cm="1">
        <f t="array" ref="L53">IFERROR(IF(SE1Test=1,_SE1dep,IF(SE1Test=2,_SE1depadj,0)),"")</f>
        <v/>
      </c>
      <c r="O53" s="196"/>
      <c r="P53" s="196"/>
    </row>
    <row r="54" spans="3:16" s="240" customFormat="1" ht="14.25" customHeight="1">
      <c r="C54" s="698" t="s">
        <v>128</v>
      </c>
      <c r="D54" s="697" t="s">
        <v>109</v>
      </c>
      <c r="E54" s="697" t="s">
        <v>100</v>
      </c>
      <c r="F54" s="699" t="s">
        <v>110</v>
      </c>
      <c r="G54" s="699" t="s">
        <v>111</v>
      </c>
      <c r="H54" s="308"/>
      <c r="J54" s="543">
        <f>SUM(J46:J49)</f>
        <v>0</v>
      </c>
      <c r="K54" s="543">
        <f>'Self Employed Calculator (SME)'!D36+'Self Employed Calculator (SME)'!F36+'Self Employed Calculator (SME)'!H36+'Self Employed Calculator (SME)'!J36</f>
        <v>0</v>
      </c>
      <c r="L54" s="309"/>
      <c r="O54" s="242"/>
      <c r="P54" s="242"/>
    </row>
    <row r="55" spans="3:16" s="240" customFormat="1" ht="15" customHeight="1">
      <c r="C55" s="566" t="s">
        <v>294</v>
      </c>
      <c r="D55" s="380"/>
      <c r="E55" s="154"/>
      <c r="F55" s="338"/>
      <c r="G55" s="338"/>
      <c r="J55" s="550">
        <f>SUM(K46:K49)</f>
        <v>0</v>
      </c>
      <c r="K55" s="550">
        <f>'Self Employed Calculator (SME)'!D68+'Self Employed Calculator (SME)'!F68+'Self Employed Calculator (SME)'!H68+'Self Employed Calculator (SME)'!J68</f>
        <v>0</v>
      </c>
      <c r="L55" s="309"/>
      <c r="N55" s="239"/>
      <c r="O55" s="283"/>
      <c r="P55" s="283"/>
    </row>
    <row r="56" spans="3:16">
      <c r="C56" s="566" t="s">
        <v>295</v>
      </c>
      <c r="D56" s="380"/>
      <c r="E56" s="154"/>
      <c r="F56" s="338"/>
      <c r="G56" s="338"/>
      <c r="I56" s="281"/>
      <c r="J56" s="297"/>
      <c r="K56" s="766"/>
      <c r="L56" s="767"/>
      <c r="N56" s="209"/>
      <c r="O56" s="310"/>
      <c r="P56" s="310"/>
    </row>
    <row r="57" spans="3:16">
      <c r="C57" s="566" t="s">
        <v>296</v>
      </c>
      <c r="D57" s="380"/>
      <c r="E57" s="154"/>
      <c r="F57" s="338"/>
      <c r="G57" s="338"/>
      <c r="I57" s="281"/>
      <c r="J57" s="297"/>
      <c r="K57" s="767"/>
      <c r="L57" s="767"/>
      <c r="N57" s="209"/>
      <c r="O57" s="310"/>
      <c r="P57" s="310"/>
    </row>
    <row r="58" spans="3:16">
      <c r="C58" s="566" t="s">
        <v>297</v>
      </c>
      <c r="D58" s="380"/>
      <c r="E58" s="154"/>
      <c r="F58" s="338"/>
      <c r="G58" s="338"/>
      <c r="I58" s="281"/>
      <c r="J58" s="297"/>
      <c r="K58" s="767"/>
      <c r="L58" s="767"/>
      <c r="N58" s="209"/>
      <c r="O58" s="310"/>
      <c r="P58" s="310"/>
    </row>
    <row r="59" spans="3:16">
      <c r="C59" s="566" t="s">
        <v>298</v>
      </c>
      <c r="D59" s="380"/>
      <c r="E59" s="154"/>
      <c r="F59" s="338"/>
      <c r="G59" s="338"/>
      <c r="I59" s="281"/>
      <c r="J59" s="297"/>
      <c r="K59" s="311"/>
      <c r="L59" s="311"/>
      <c r="N59" s="209"/>
      <c r="O59" s="310"/>
      <c r="P59" s="310"/>
    </row>
    <row r="60" spans="3:16">
      <c r="C60" s="566" t="s">
        <v>275</v>
      </c>
      <c r="D60" s="380"/>
      <c r="E60" s="154"/>
      <c r="F60" s="338"/>
      <c r="G60" s="338"/>
      <c r="I60" s="281"/>
      <c r="J60" s="297"/>
      <c r="K60" s="311"/>
      <c r="L60" s="311"/>
      <c r="N60" s="209"/>
      <c r="O60" s="310"/>
      <c r="P60" s="310"/>
    </row>
    <row r="61" spans="3:16">
      <c r="C61" s="566" t="s">
        <v>274</v>
      </c>
      <c r="D61" s="380"/>
      <c r="E61" s="154"/>
      <c r="F61" s="338"/>
      <c r="G61" s="338"/>
      <c r="H61" s="377"/>
      <c r="I61" s="281"/>
      <c r="J61" s="297"/>
      <c r="K61" s="311"/>
      <c r="L61" s="311"/>
      <c r="N61" s="209"/>
      <c r="O61" s="310"/>
      <c r="P61" s="310"/>
    </row>
    <row r="62" spans="3:16">
      <c r="C62" s="566" t="s">
        <v>273</v>
      </c>
      <c r="D62" s="380"/>
      <c r="E62" s="154"/>
      <c r="F62" s="338"/>
      <c r="G62" s="338"/>
      <c r="H62" s="324"/>
      <c r="I62" s="281"/>
      <c r="J62" s="297"/>
      <c r="K62" s="768"/>
      <c r="L62" s="765"/>
      <c r="N62" s="209"/>
      <c r="O62" s="310"/>
      <c r="P62" s="310"/>
    </row>
    <row r="63" spans="3:16">
      <c r="C63" s="566" t="s">
        <v>132</v>
      </c>
      <c r="D63" s="154"/>
      <c r="E63" s="154"/>
      <c r="F63" s="338"/>
      <c r="G63" s="338"/>
      <c r="I63" s="281"/>
      <c r="J63" s="297"/>
      <c r="K63" s="765"/>
      <c r="L63" s="765"/>
      <c r="N63" s="209"/>
      <c r="O63" s="310"/>
      <c r="P63" s="310"/>
    </row>
    <row r="64" spans="3:16" ht="13.9" customHeight="1">
      <c r="C64" s="566" t="s">
        <v>299</v>
      </c>
      <c r="D64" s="380"/>
      <c r="E64" s="154"/>
      <c r="F64" s="338"/>
      <c r="G64" s="338"/>
      <c r="J64" s="297"/>
      <c r="K64" s="764"/>
      <c r="L64" s="765"/>
      <c r="N64" s="209"/>
      <c r="O64" s="310"/>
      <c r="P64" s="310"/>
    </row>
    <row r="65" spans="3:16">
      <c r="C65" s="567" t="s">
        <v>129</v>
      </c>
      <c r="D65" s="568">
        <f>SUM(D55:D64)</f>
        <v>0</v>
      </c>
      <c r="E65" s="568">
        <f>SUM(E55:E64)</f>
        <v>0</v>
      </c>
      <c r="F65" s="569">
        <f>SUM(F55:F64)</f>
        <v>0</v>
      </c>
      <c r="G65" s="569">
        <f>SUM(G55:G64)</f>
        <v>0</v>
      </c>
      <c r="J65" s="297"/>
      <c r="K65" s="765"/>
      <c r="L65" s="765"/>
      <c r="N65" s="235"/>
      <c r="O65" s="312"/>
      <c r="P65" s="312"/>
    </row>
    <row r="66" spans="3:16" ht="13.9" customHeight="1">
      <c r="C66" s="567" t="s">
        <v>272</v>
      </c>
      <c r="D66" s="568">
        <f>_xlfn.IFNA(VLOOKUP($O$26,HEM!$B$12:$P$34,$H$26,FALSE),0)*52/12</f>
        <v>0</v>
      </c>
      <c r="E66" s="568">
        <f>_xlfn.IFNA(VLOOKUP($O$27,HEM!$B$12:$P$34,$H$27,FALSE),0)*52/12</f>
        <v>0</v>
      </c>
      <c r="F66" s="569">
        <f>_xlfn.IFNA(VLOOKUP($O$28,HEM!$B$12:$P$34,$H$28,FALSE),0)*52/12</f>
        <v>0</v>
      </c>
      <c r="G66" s="569">
        <f>_xlfn.IFNA(VLOOKUP($O$29,HEM!$B$12:$P$34,$H$29,FALSE),0)*52/12</f>
        <v>0</v>
      </c>
      <c r="I66" s="281"/>
      <c r="J66" s="297"/>
      <c r="K66" s="764"/>
      <c r="L66" s="765"/>
      <c r="N66" s="235"/>
      <c r="O66" s="312"/>
      <c r="P66" s="312"/>
    </row>
    <row r="67" spans="3:16">
      <c r="C67" s="570" t="s">
        <v>130</v>
      </c>
      <c r="D67" s="568">
        <f>IF(D66&gt;D65,D66,D65)</f>
        <v>0</v>
      </c>
      <c r="E67" s="568">
        <f>IF(E66&gt;E65,E66,E65)</f>
        <v>0</v>
      </c>
      <c r="F67" s="569">
        <f>IF(F66&gt;F65,F66,F65)</f>
        <v>0</v>
      </c>
      <c r="G67" s="569">
        <f>IF(G66&gt;G65,G66,G65)</f>
        <v>0</v>
      </c>
      <c r="I67" s="281"/>
      <c r="J67" s="297"/>
      <c r="K67" s="765"/>
      <c r="L67" s="765"/>
      <c r="N67" s="235"/>
      <c r="O67" s="312"/>
      <c r="P67" s="312"/>
    </row>
    <row r="68" spans="3:16" ht="13.9" customHeight="1">
      <c r="C68" s="566" t="s">
        <v>131</v>
      </c>
      <c r="D68" s="154"/>
      <c r="E68" s="571"/>
      <c r="F68" s="338"/>
      <c r="G68" s="338"/>
      <c r="I68" s="281"/>
      <c r="J68" s="297"/>
      <c r="K68" s="764"/>
      <c r="L68" s="765"/>
      <c r="N68" s="209"/>
      <c r="O68" s="310"/>
      <c r="P68" s="310"/>
    </row>
    <row r="69" spans="3:16" ht="13.9" customHeight="1">
      <c r="C69" s="566" t="s">
        <v>920</v>
      </c>
      <c r="D69" s="154"/>
      <c r="E69" s="154"/>
      <c r="F69" s="338"/>
      <c r="G69" s="338"/>
      <c r="I69" s="281"/>
      <c r="J69" s="297"/>
      <c r="K69" s="764"/>
      <c r="L69" s="765"/>
      <c r="N69" s="209"/>
      <c r="O69" s="310"/>
      <c r="P69" s="310"/>
    </row>
    <row r="70" spans="3:16" ht="13.9" customHeight="1">
      <c r="C70" s="566" t="s">
        <v>133</v>
      </c>
      <c r="D70" s="154"/>
      <c r="E70" s="154"/>
      <c r="F70" s="338"/>
      <c r="G70" s="338"/>
      <c r="I70" s="281"/>
      <c r="J70" s="297"/>
      <c r="K70" s="764"/>
      <c r="L70" s="765"/>
      <c r="N70" s="209"/>
      <c r="O70" s="310"/>
      <c r="P70" s="310"/>
    </row>
    <row r="71" spans="3:16" ht="14.25" customHeight="1">
      <c r="C71" s="763" t="str">
        <f>"WARNING - "&amp;IF(D65&lt;D66,"Household 1 ","")&amp;IF(E65&lt;E66,"Household 2 ","")&amp;IF(F65&lt;F66,"Household 3 ","")&amp;IF(G65&lt;G66,"Household 4 ","")&amp;"declared living expenses are below benchmark. Detailed review of living expenses required"</f>
        <v>WARNING - declared living expenses are below benchmark. Detailed review of living expenses required</v>
      </c>
      <c r="D71" s="763"/>
      <c r="E71" s="763"/>
      <c r="F71" s="763"/>
      <c r="G71" s="763"/>
      <c r="I71" s="281"/>
      <c r="J71" s="297"/>
      <c r="K71" s="765"/>
      <c r="L71" s="765"/>
      <c r="N71" s="209"/>
      <c r="O71" s="310"/>
      <c r="P71" s="310"/>
    </row>
    <row r="72" spans="3:16" ht="15">
      <c r="C72" s="741" t="s">
        <v>135</v>
      </c>
      <c r="D72" s="742"/>
      <c r="E72" s="742"/>
      <c r="F72" s="762"/>
      <c r="G72" s="572">
        <f>SUM(D67:G67)</f>
        <v>0</v>
      </c>
      <c r="H72" s="306"/>
      <c r="I72" s="281"/>
      <c r="J72" s="297"/>
      <c r="K72" s="249"/>
      <c r="L72" s="279"/>
      <c r="N72" s="209"/>
      <c r="O72" s="196"/>
      <c r="P72" s="196"/>
    </row>
    <row r="73" spans="3:16" ht="15">
      <c r="C73" s="741" t="s">
        <v>292</v>
      </c>
      <c r="D73" s="742"/>
      <c r="E73" s="742"/>
      <c r="F73" s="762"/>
      <c r="G73" s="572">
        <f>SUM(D68:G70)</f>
        <v>0</v>
      </c>
      <c r="I73" s="281"/>
      <c r="J73" s="297"/>
      <c r="K73" s="249"/>
      <c r="L73" s="279"/>
      <c r="N73" s="239"/>
      <c r="O73" s="196"/>
      <c r="P73" s="196"/>
    </row>
    <row r="74" spans="3:16" ht="15">
      <c r="C74" s="754" t="s">
        <v>271</v>
      </c>
      <c r="D74" s="744"/>
      <c r="E74" s="744"/>
      <c r="F74" s="755"/>
      <c r="G74" s="573">
        <f>G72+G73</f>
        <v>0</v>
      </c>
      <c r="I74" s="281"/>
      <c r="J74" s="297"/>
      <c r="K74" s="249"/>
      <c r="L74" s="279"/>
      <c r="N74" s="239"/>
      <c r="O74" s="196"/>
      <c r="P74" s="196"/>
    </row>
    <row r="75" spans="3:16" ht="14.25">
      <c r="I75" s="281"/>
      <c r="J75" s="297"/>
      <c r="K75" s="249"/>
      <c r="L75" s="279"/>
      <c r="N75" s="239"/>
      <c r="O75" s="196"/>
      <c r="P75" s="196"/>
    </row>
    <row r="76" spans="3:16" ht="13.5" customHeight="1">
      <c r="C76" s="754" t="s">
        <v>293</v>
      </c>
      <c r="D76" s="744"/>
      <c r="E76" s="744"/>
      <c r="F76" s="745"/>
      <c r="G76" s="568">
        <f>G52-G74</f>
        <v>0</v>
      </c>
      <c r="I76" s="281"/>
      <c r="J76" s="297"/>
      <c r="K76" s="249"/>
      <c r="L76" s="279"/>
      <c r="N76" s="245"/>
      <c r="O76" s="203"/>
      <c r="P76" s="203"/>
    </row>
    <row r="77" spans="3:16" ht="14.25">
      <c r="I77" s="313"/>
      <c r="J77" s="297"/>
      <c r="K77" s="249"/>
      <c r="L77" s="279"/>
      <c r="N77" s="238"/>
      <c r="O77" s="246"/>
      <c r="P77" s="314"/>
    </row>
    <row r="78" spans="3:16">
      <c r="H78" s="307"/>
      <c r="I78" s="281"/>
      <c r="J78" s="297"/>
      <c r="K78" s="249"/>
      <c r="L78" s="279"/>
      <c r="N78" s="249"/>
      <c r="O78" s="250"/>
      <c r="P78" s="250"/>
    </row>
    <row r="79" spans="3:16" ht="15" customHeight="1">
      <c r="C79" s="698" t="s">
        <v>137</v>
      </c>
      <c r="D79" s="697" t="s">
        <v>138</v>
      </c>
      <c r="E79" s="697" t="s">
        <v>139</v>
      </c>
      <c r="G79" s="200"/>
      <c r="I79" s="301"/>
      <c r="J79" s="297"/>
      <c r="K79" s="249"/>
      <c r="L79" s="279"/>
      <c r="N79" s="239"/>
      <c r="O79" s="251"/>
      <c r="P79" s="251"/>
    </row>
    <row r="80" spans="3:16">
      <c r="C80" s="574" t="s">
        <v>140</v>
      </c>
      <c r="D80" s="157"/>
      <c r="E80" s="575">
        <f>D80*0.0383</f>
        <v>0</v>
      </c>
      <c r="I80" s="249"/>
      <c r="J80" s="249"/>
      <c r="K80" s="290"/>
      <c r="L80" s="279"/>
      <c r="N80" s="209"/>
      <c r="O80" s="196"/>
      <c r="P80" s="196"/>
    </row>
    <row r="81" spans="3:16">
      <c r="C81" s="156"/>
      <c r="D81" s="381"/>
      <c r="E81" s="155"/>
      <c r="I81" s="245"/>
      <c r="J81" s="249"/>
      <c r="K81" s="290"/>
      <c r="L81" s="279"/>
      <c r="N81" s="209"/>
      <c r="O81" s="315"/>
      <c r="P81" s="310"/>
    </row>
    <row r="82" spans="3:16">
      <c r="C82" s="156"/>
      <c r="D82" s="381"/>
      <c r="E82" s="155"/>
      <c r="I82" s="245"/>
      <c r="J82" s="249"/>
      <c r="K82" s="290"/>
      <c r="L82" s="279"/>
      <c r="N82" s="209"/>
      <c r="O82" s="315"/>
      <c r="P82" s="310"/>
    </row>
    <row r="83" spans="3:16">
      <c r="C83" s="156"/>
      <c r="D83" s="158"/>
      <c r="E83" s="159"/>
      <c r="I83" s="245"/>
      <c r="J83" s="249"/>
      <c r="K83" s="249"/>
      <c r="L83" s="279"/>
      <c r="N83" s="209"/>
      <c r="O83" s="315"/>
      <c r="P83" s="310"/>
    </row>
    <row r="84" spans="3:16">
      <c r="C84" s="334"/>
      <c r="D84" s="335"/>
      <c r="E84" s="336"/>
      <c r="I84" s="245"/>
      <c r="J84" s="249"/>
      <c r="K84" s="249"/>
      <c r="L84" s="279"/>
      <c r="N84" s="209"/>
      <c r="O84" s="315"/>
      <c r="P84" s="310"/>
    </row>
    <row r="85" spans="3:16">
      <c r="C85" s="156"/>
      <c r="D85" s="337"/>
      <c r="E85" s="337"/>
      <c r="G85" s="249"/>
      <c r="I85" s="245"/>
      <c r="J85" s="249"/>
      <c r="K85" s="249"/>
      <c r="L85" s="279"/>
      <c r="N85" s="209"/>
      <c r="O85" s="315"/>
      <c r="P85" s="310"/>
    </row>
    <row r="86" spans="3:16" ht="14.25">
      <c r="C86" s="156"/>
      <c r="D86" s="337"/>
      <c r="E86" s="337"/>
      <c r="G86" s="191"/>
      <c r="I86" s="245"/>
      <c r="J86" s="249"/>
      <c r="K86" s="249"/>
      <c r="L86" s="279"/>
      <c r="N86" s="209"/>
      <c r="O86" s="315"/>
      <c r="P86" s="310"/>
    </row>
    <row r="87" spans="3:16">
      <c r="C87" s="156"/>
      <c r="D87" s="337"/>
      <c r="E87" s="337"/>
      <c r="G87" s="288"/>
      <c r="I87" s="245"/>
      <c r="J87" s="249"/>
      <c r="K87" s="249"/>
      <c r="L87" s="279"/>
      <c r="N87" s="209"/>
      <c r="O87" s="315"/>
      <c r="P87" s="310"/>
    </row>
    <row r="88" spans="3:16">
      <c r="C88" s="156"/>
      <c r="D88" s="337"/>
      <c r="E88" s="337"/>
      <c r="G88" s="200"/>
      <c r="I88" s="249"/>
      <c r="J88" s="249"/>
      <c r="K88" s="290"/>
      <c r="L88" s="279"/>
      <c r="N88" s="209"/>
      <c r="O88" s="315"/>
      <c r="P88" s="310"/>
    </row>
    <row r="89" spans="3:16">
      <c r="C89" s="156"/>
      <c r="D89" s="337"/>
      <c r="E89" s="337"/>
      <c r="G89" s="200"/>
      <c r="I89" s="249"/>
      <c r="J89" s="249"/>
      <c r="K89" s="290"/>
      <c r="L89" s="279"/>
      <c r="N89" s="209"/>
      <c r="O89" s="315"/>
      <c r="P89" s="310"/>
    </row>
    <row r="90" spans="3:16">
      <c r="C90" s="156"/>
      <c r="D90" s="337"/>
      <c r="E90" s="144"/>
      <c r="G90" s="200"/>
      <c r="I90" s="249"/>
      <c r="J90" s="249"/>
      <c r="K90" s="249"/>
      <c r="L90" s="279"/>
      <c r="N90" s="209"/>
      <c r="O90" s="315"/>
      <c r="P90" s="310"/>
    </row>
    <row r="91" spans="3:16">
      <c r="C91" s="156"/>
      <c r="D91" s="144"/>
      <c r="E91" s="144"/>
      <c r="G91" s="200"/>
      <c r="I91" s="307"/>
      <c r="J91" s="249"/>
      <c r="K91" s="249"/>
      <c r="L91" s="279"/>
      <c r="N91" s="209"/>
      <c r="O91" s="316"/>
      <c r="P91" s="317"/>
    </row>
    <row r="92" spans="3:16">
      <c r="C92" s="318"/>
      <c r="D92" s="220"/>
      <c r="E92" s="220"/>
      <c r="G92" s="200"/>
      <c r="I92" s="307"/>
      <c r="J92" s="249"/>
      <c r="K92" s="249"/>
      <c r="L92" s="279"/>
      <c r="N92" s="209"/>
      <c r="O92" s="319"/>
      <c r="P92" s="320"/>
    </row>
    <row r="93" spans="3:16" ht="15">
      <c r="C93" s="749" t="s">
        <v>270</v>
      </c>
      <c r="D93" s="750"/>
      <c r="E93" s="750"/>
      <c r="F93" s="751"/>
      <c r="G93" s="576">
        <f>SUM(E80:E91)</f>
        <v>0</v>
      </c>
      <c r="I93" s="321"/>
      <c r="J93" s="249"/>
      <c r="K93" s="249"/>
      <c r="L93" s="322"/>
      <c r="N93" s="245"/>
      <c r="O93" s="196"/>
      <c r="P93" s="196"/>
    </row>
    <row r="94" spans="3:16" ht="15">
      <c r="C94" s="752" t="s">
        <v>851</v>
      </c>
      <c r="D94" s="742"/>
      <c r="E94" s="742"/>
      <c r="F94" s="753"/>
      <c r="G94" s="576">
        <f>SUM(D81:D91)/12*2.25%</f>
        <v>0</v>
      </c>
      <c r="I94" s="323"/>
      <c r="L94" s="324"/>
      <c r="N94" s="238"/>
      <c r="O94" s="205"/>
      <c r="P94" s="196"/>
    </row>
    <row r="95" spans="3:16" ht="15">
      <c r="C95" s="700"/>
      <c r="D95" s="701"/>
      <c r="E95" s="701"/>
      <c r="F95" s="702" t="s">
        <v>852</v>
      </c>
      <c r="G95" s="576">
        <f>SUM(G93:G94)</f>
        <v>0</v>
      </c>
      <c r="I95" s="323"/>
      <c r="L95" s="324"/>
      <c r="N95" s="238"/>
      <c r="O95" s="205"/>
      <c r="P95" s="196"/>
    </row>
    <row r="96" spans="3:16" ht="15" hidden="1">
      <c r="C96" s="703"/>
      <c r="D96" s="703"/>
      <c r="E96" s="703"/>
      <c r="F96" s="704" t="s">
        <v>848</v>
      </c>
      <c r="G96" s="577">
        <f>SUM(D81:D91)/12*RepayCalculator!B6</f>
        <v>0</v>
      </c>
      <c r="I96" s="323"/>
      <c r="L96" s="324"/>
      <c r="N96" s="238"/>
      <c r="O96" s="205"/>
      <c r="P96" s="196"/>
    </row>
    <row r="97" spans="3:18" ht="15" hidden="1">
      <c r="C97" s="754" t="s">
        <v>849</v>
      </c>
      <c r="D97" s="744"/>
      <c r="E97" s="744"/>
      <c r="F97" s="755"/>
      <c r="G97" s="578">
        <f>SUM(G95:G96)</f>
        <v>0</v>
      </c>
      <c r="I97" s="307"/>
      <c r="J97" s="249"/>
      <c r="K97" s="249"/>
      <c r="L97" s="279"/>
      <c r="N97" s="245"/>
      <c r="O97" s="254"/>
      <c r="P97" s="254"/>
    </row>
    <row r="98" spans="3:18">
      <c r="E98" s="245"/>
      <c r="F98" s="325"/>
      <c r="G98" s="325"/>
      <c r="L98" s="456"/>
      <c r="N98" s="245"/>
      <c r="O98" s="196"/>
      <c r="P98" s="254"/>
    </row>
    <row r="99" spans="3:18" ht="15.75" customHeight="1">
      <c r="E99" s="326"/>
      <c r="G99" s="327" t="s">
        <v>258</v>
      </c>
      <c r="I99" s="324">
        <f>G37+G47+G48-G74</f>
        <v>0</v>
      </c>
      <c r="N99" s="326"/>
      <c r="O99" s="226"/>
      <c r="P99" s="226"/>
    </row>
    <row r="100" spans="3:18" ht="15">
      <c r="C100" s="759" t="s">
        <v>143</v>
      </c>
      <c r="D100" s="760"/>
      <c r="E100" s="760"/>
      <c r="F100" s="761"/>
      <c r="G100" s="579">
        <f>G76-G95-G14</f>
        <v>0</v>
      </c>
      <c r="I100" s="324">
        <f>G16+G97</f>
        <v>0</v>
      </c>
      <c r="J100" s="281"/>
      <c r="K100" s="279"/>
      <c r="L100" s="279"/>
      <c r="N100" s="328"/>
      <c r="O100" s="237"/>
      <c r="P100" s="237"/>
    </row>
    <row r="101" spans="3:18" ht="15" hidden="1">
      <c r="C101" s="741" t="s">
        <v>845</v>
      </c>
      <c r="D101" s="742"/>
      <c r="E101" s="742"/>
      <c r="F101" s="742"/>
      <c r="G101" s="580" t="str">
        <f>IF(AND(G100&gt;0),"PASS","FAIL")</f>
        <v>FAIL</v>
      </c>
      <c r="I101" s="581" t="e">
        <f>I99/I100</f>
        <v>#DIV/0!</v>
      </c>
      <c r="J101" s="281"/>
      <c r="K101" s="279"/>
      <c r="L101" s="279"/>
      <c r="N101" s="328"/>
      <c r="O101" s="237"/>
      <c r="P101" s="237"/>
    </row>
    <row r="102" spans="3:18" ht="14.25" hidden="1">
      <c r="I102" s="281"/>
      <c r="J102" s="281"/>
      <c r="K102" s="279"/>
      <c r="L102" s="279"/>
      <c r="N102" s="328"/>
      <c r="O102" s="237"/>
      <c r="P102" s="237"/>
      <c r="Q102" s="377"/>
    </row>
    <row r="103" spans="3:18" ht="15">
      <c r="C103" s="741" t="s">
        <v>790</v>
      </c>
      <c r="D103" s="742"/>
      <c r="E103" s="742"/>
      <c r="F103" s="742"/>
      <c r="G103" s="582" t="e">
        <f>+L103/L104</f>
        <v>#DIV/0!</v>
      </c>
      <c r="I103" s="323" t="s">
        <v>794</v>
      </c>
      <c r="J103" s="323"/>
      <c r="K103" s="329"/>
      <c r="L103" s="322">
        <f>G51</f>
        <v>0</v>
      </c>
      <c r="N103" s="328"/>
      <c r="O103" s="237"/>
      <c r="P103" s="237"/>
      <c r="R103" s="324"/>
    </row>
    <row r="104" spans="3:18" ht="15.75" thickBot="1">
      <c r="C104" s="703"/>
      <c r="D104" s="703"/>
      <c r="E104" s="703"/>
      <c r="F104" s="703" t="s">
        <v>846</v>
      </c>
      <c r="G104" s="580" t="e">
        <f>IF(AND(G103&gt;1.75,G100&gt;0,G108&gt;1.001),"PASS","FAIL")</f>
        <v>#DIV/0!</v>
      </c>
      <c r="I104" s="323" t="s">
        <v>792</v>
      </c>
      <c r="J104" s="249"/>
      <c r="K104" s="249"/>
      <c r="L104" s="322">
        <f>(SUM(D16:F16)+SUM(D81:D91)*RepayCalculator!B6/12+E80)*12</f>
        <v>0</v>
      </c>
      <c r="N104" s="239"/>
      <c r="O104" s="237"/>
      <c r="P104" s="237"/>
      <c r="R104" s="324"/>
    </row>
    <row r="105" spans="3:18" ht="15" hidden="1" customHeight="1">
      <c r="C105" s="703"/>
      <c r="D105" s="703"/>
      <c r="E105" s="703"/>
      <c r="F105" s="703" t="s">
        <v>857</v>
      </c>
      <c r="G105" s="583" t="e">
        <f>+L103/L105</f>
        <v>#DIV/0!</v>
      </c>
      <c r="I105" s="323" t="s">
        <v>856</v>
      </c>
      <c r="J105" s="249"/>
      <c r="K105" s="249"/>
      <c r="L105" s="322">
        <f>(SUM(D16:F16)+SUM(D81:D91)*RepayCalculator!B8/12+E80)*12</f>
        <v>0</v>
      </c>
      <c r="N105" s="239"/>
      <c r="O105" s="237"/>
      <c r="P105" s="237"/>
      <c r="R105" s="324"/>
    </row>
    <row r="106" spans="3:18" ht="15" hidden="1" thickBot="1">
      <c r="I106" s="281"/>
      <c r="J106" s="281"/>
      <c r="K106" s="279"/>
      <c r="L106" s="279"/>
      <c r="N106" s="239"/>
      <c r="O106" s="237"/>
      <c r="P106" s="237"/>
      <c r="R106" s="324"/>
    </row>
    <row r="107" spans="3:18" ht="15.75" thickBot="1">
      <c r="C107" s="741" t="s">
        <v>46</v>
      </c>
      <c r="D107" s="742"/>
      <c r="E107" s="742"/>
      <c r="F107" s="742"/>
      <c r="G107" s="584" t="e">
        <f>(SUM(D80:D91)+SUM(D7:F7))/G51</f>
        <v>#DIV/0!</v>
      </c>
      <c r="H107" s="249"/>
      <c r="I107" s="330">
        <f>((G76-G93-G94)/(D10+1.7%)*12)</f>
        <v>0</v>
      </c>
      <c r="J107" s="281"/>
      <c r="K107" s="331"/>
      <c r="L107" s="322"/>
      <c r="N107" s="239"/>
      <c r="O107" s="237"/>
      <c r="P107" s="237"/>
    </row>
    <row r="108" spans="3:18" ht="15">
      <c r="C108" s="703"/>
      <c r="D108" s="703"/>
      <c r="E108" s="703"/>
      <c r="F108" s="703" t="s">
        <v>934</v>
      </c>
      <c r="G108" s="585" t="e">
        <f>G52/(G95+G14+G74)</f>
        <v>#DIV/0!</v>
      </c>
      <c r="H108" s="249"/>
      <c r="I108" s="455"/>
      <c r="J108" s="281"/>
      <c r="K108" s="331"/>
      <c r="L108" s="322"/>
      <c r="N108" s="239"/>
      <c r="O108" s="237"/>
      <c r="P108" s="237"/>
    </row>
    <row r="109" spans="3:18" ht="18.600000000000001" hidden="1" customHeight="1">
      <c r="C109" s="756" t="str">
        <f>IFERROR(IF(OR(G107&gt;6,G100&lt;500),"Supplementary supporting documents are required: "&amp;"                                                                                                                                                                                                                     "&amp;
"- 3 months bank account statements showing regular salary credits OR
- Income statement from ATO (via MyGov) confirming Previous FY and Current YTD income. Screenshot acceptable to support current income figure.",""),"")</f>
        <v/>
      </c>
      <c r="D109" s="756"/>
      <c r="E109" s="756"/>
      <c r="F109" s="756"/>
      <c r="G109" s="757"/>
      <c r="I109" s="281"/>
      <c r="J109" s="281"/>
      <c r="K109" s="279"/>
      <c r="L109" s="279"/>
      <c r="N109" s="238"/>
      <c r="O109" s="332"/>
      <c r="P109" s="332"/>
    </row>
    <row r="110" spans="3:18" ht="18.75" hidden="1" customHeight="1">
      <c r="C110" s="756"/>
      <c r="D110" s="756"/>
      <c r="E110" s="756"/>
      <c r="F110" s="756"/>
      <c r="G110" s="758"/>
      <c r="H110" s="249"/>
      <c r="I110" s="279"/>
      <c r="J110" s="279"/>
      <c r="K110" s="279"/>
      <c r="L110" s="279"/>
      <c r="N110" s="235"/>
      <c r="O110" s="237"/>
      <c r="P110" s="237"/>
    </row>
    <row r="111" spans="3:18" ht="15">
      <c r="C111" s="743" t="s">
        <v>300</v>
      </c>
      <c r="D111" s="744"/>
      <c r="E111" s="744"/>
      <c r="F111" s="745"/>
      <c r="G111" s="586" t="str">
        <f>IF(OR(E7&gt;0,F7&gt;0),"N/A - Multiple loans",IF(D6="Principal &amp; Interest",FLOOR(-PV((D13)/12,(D8-D9)*12,(G76-G95),0,0),100),"N/A"))</f>
        <v>N/A</v>
      </c>
      <c r="H111" s="279"/>
      <c r="I111" s="279"/>
      <c r="J111" s="279"/>
      <c r="K111" s="279"/>
      <c r="L111" s="279"/>
      <c r="N111" s="279"/>
      <c r="O111" s="279"/>
      <c r="P111" s="279"/>
    </row>
    <row r="112" spans="3:18">
      <c r="H112" s="279"/>
      <c r="I112" s="279"/>
      <c r="J112" s="279"/>
      <c r="K112" s="279"/>
      <c r="L112" s="279"/>
      <c r="N112" s="279"/>
      <c r="O112" s="279"/>
      <c r="P112" s="279"/>
    </row>
    <row r="113" spans="3:16">
      <c r="C113" s="333"/>
      <c r="E113" s="333"/>
      <c r="F113" s="279"/>
      <c r="G113" s="460"/>
      <c r="H113" s="279"/>
      <c r="N113" s="333"/>
      <c r="O113" s="279"/>
      <c r="P113" s="279"/>
    </row>
    <row r="116" spans="3:16" ht="14.25">
      <c r="E116" s="239"/>
      <c r="F116" s="200"/>
    </row>
    <row r="117" spans="3:16" ht="14.25">
      <c r="E117" s="239"/>
      <c r="F117" s="200"/>
    </row>
    <row r="118" spans="3:16" ht="14.25">
      <c r="E118" s="239"/>
      <c r="F118" s="200"/>
    </row>
    <row r="119" spans="3:16">
      <c r="C119" s="245"/>
      <c r="E119" s="245"/>
      <c r="F119" s="200"/>
      <c r="G119" s="297"/>
    </row>
    <row r="120" spans="3:16" ht="14.25">
      <c r="E120" s="238"/>
      <c r="F120" s="235"/>
    </row>
    <row r="122" spans="3:16" ht="14.25">
      <c r="E122" s="239"/>
      <c r="F122" s="200"/>
    </row>
    <row r="123" spans="3:16" ht="14.25">
      <c r="E123" s="239"/>
      <c r="F123" s="200"/>
    </row>
  </sheetData>
  <sheetProtection algorithmName="SHA-512" hashValue="oGPmccG0fK0c3NbyAUt+xLhvPHs5yYKWr4/HRWe7z/EofThURYtCfsFzeKHpPgLq+OeUKaOr24wVdPtlxW4y0A==" saltValue="EJy3UUV+g2Bs80a50wk9Pg==" spinCount="100000" sheet="1" objects="1" scenarios="1"/>
  <mergeCells count="23">
    <mergeCell ref="C101:F101"/>
    <mergeCell ref="C103:F103"/>
    <mergeCell ref="C107:F107"/>
    <mergeCell ref="C109:G110"/>
    <mergeCell ref="C111:F111"/>
    <mergeCell ref="C100:F100"/>
    <mergeCell ref="K64:L65"/>
    <mergeCell ref="K66:L67"/>
    <mergeCell ref="K68:L71"/>
    <mergeCell ref="C71:G71"/>
    <mergeCell ref="C72:F72"/>
    <mergeCell ref="C73:F73"/>
    <mergeCell ref="C74:F74"/>
    <mergeCell ref="C76:F76"/>
    <mergeCell ref="C93:F93"/>
    <mergeCell ref="C94:F94"/>
    <mergeCell ref="C97:F97"/>
    <mergeCell ref="K62:L63"/>
    <mergeCell ref="F2:G2"/>
    <mergeCell ref="K20:L32"/>
    <mergeCell ref="C51:F51"/>
    <mergeCell ref="C52:F52"/>
    <mergeCell ref="K56:L58"/>
  </mergeCells>
  <phoneticPr fontId="95" type="noConversion"/>
  <conditionalFormatting sqref="O20:O23 G97">
    <cfRule type="expression" dxfId="118" priority="38" stopIfTrue="1">
      <formula>$J$63&gt;0</formula>
    </cfRule>
    <cfRule type="expression" dxfId="117" priority="39" stopIfTrue="1">
      <formula>$J$63&lt;0</formula>
    </cfRule>
  </conditionalFormatting>
  <conditionalFormatting sqref="G88:G93">
    <cfRule type="expression" dxfId="116" priority="34" stopIfTrue="1">
      <formula>$J$63&gt;0</formula>
    </cfRule>
    <cfRule type="expression" dxfId="115" priority="35" stopIfTrue="1">
      <formula>$J$63&lt;0</formula>
    </cfRule>
  </conditionalFormatting>
  <conditionalFormatting sqref="G88:G93">
    <cfRule type="expression" dxfId="114" priority="36" stopIfTrue="1">
      <formula>$J$63&gt;0</formula>
    </cfRule>
    <cfRule type="expression" dxfId="113" priority="37" stopIfTrue="1">
      <formula>$J$63&lt;0</formula>
    </cfRule>
  </conditionalFormatting>
  <conditionalFormatting sqref="G111">
    <cfRule type="expression" dxfId="112" priority="40" stopIfTrue="1">
      <formula>$D$6="Interest Only"</formula>
    </cfRule>
    <cfRule type="expression" dxfId="111" priority="41" stopIfTrue="1">
      <formula>$D$6="Interest Only"</formula>
    </cfRule>
    <cfRule type="expression" dxfId="110" priority="42" stopIfTrue="1">
      <formula>$D$6="Interest Only"</formula>
    </cfRule>
  </conditionalFormatting>
  <conditionalFormatting sqref="D68:G70 D55:G64">
    <cfRule type="expression" dxfId="109" priority="43">
      <formula>OR($N$33=D$54,$N$34=D$54,$N$35=D$54,$N$36=D$54)</formula>
    </cfRule>
  </conditionalFormatting>
  <conditionalFormatting sqref="E54:E63 E65:E66 E68:E70">
    <cfRule type="expression" dxfId="108" priority="33">
      <formula>AND($E$20&lt;&gt;"Household 2",$E$21&lt;&gt;"Household 2",$E$22&lt;&gt;"Household 2",$E$23&lt;&gt;"Household 2")</formula>
    </cfRule>
  </conditionalFormatting>
  <conditionalFormatting sqref="F54:F63 F65:F66 F68:F70">
    <cfRule type="expression" dxfId="107" priority="32">
      <formula>AND($E$20&lt;&gt;"Household 3",$E$21&lt;&gt;"Household 3",$E$22&lt;&gt;"Household 3",$E$23&lt;&gt;"Household 3")</formula>
    </cfRule>
  </conditionalFormatting>
  <conditionalFormatting sqref="G54:G63 G65:G66 G68:G70">
    <cfRule type="expression" dxfId="106" priority="31">
      <formula>AND($E$20&lt;&gt;"Household 4",$E$21&lt;&gt;"Household 4",$E$22&lt;&gt;"Household 4",$E$23&lt;&gt;"Household 4")</formula>
    </cfRule>
  </conditionalFormatting>
  <conditionalFormatting sqref="G104:G105 G101">
    <cfRule type="containsText" dxfId="105" priority="29" operator="containsText" text="PASS">
      <formula>NOT(ISERROR(SEARCH("PASS",G101)))</formula>
    </cfRule>
    <cfRule type="containsText" dxfId="104" priority="30" operator="containsText" text="FAIL">
      <formula>NOT(ISERROR(SEARCH("FAIL",G101)))</formula>
    </cfRule>
  </conditionalFormatting>
  <conditionalFormatting sqref="E22:G22">
    <cfRule type="expression" dxfId="103" priority="28">
      <formula>$D$22=0</formula>
    </cfRule>
  </conditionalFormatting>
  <conditionalFormatting sqref="E23:G23">
    <cfRule type="expression" dxfId="102" priority="27">
      <formula>$D$23=0</formula>
    </cfRule>
  </conditionalFormatting>
  <conditionalFormatting sqref="D9">
    <cfRule type="expression" dxfId="101" priority="22">
      <formula>$O$115="Interest Only"</formula>
    </cfRule>
  </conditionalFormatting>
  <conditionalFormatting sqref="E21:G21">
    <cfRule type="expression" dxfId="100" priority="21">
      <formula>$D$21=0</formula>
    </cfRule>
  </conditionalFormatting>
  <conditionalFormatting sqref="C71:G71">
    <cfRule type="expression" dxfId="99" priority="44">
      <formula>AND($D$65&gt;=$D$66,$E$65&gt;=$E$66,$F$65&gt;=$F$66,$G$65&gt;=$G$66)</formula>
    </cfRule>
  </conditionalFormatting>
  <conditionalFormatting sqref="E64">
    <cfRule type="expression" dxfId="98" priority="20">
      <formula>AND($E$20&lt;&gt;"Household 2",$E$21&lt;&gt;"Household 2",$E$22&lt;&gt;"Household 2",$E$23&lt;&gt;"Household 2")</formula>
    </cfRule>
  </conditionalFormatting>
  <conditionalFormatting sqref="F64">
    <cfRule type="expression" dxfId="97" priority="19">
      <formula>AND($E$20&lt;&gt;"Household 3",$E$21&lt;&gt;"Household 3",$E$22&lt;&gt;"Household 3",$E$23&lt;&gt;"Household 3")</formula>
    </cfRule>
  </conditionalFormatting>
  <conditionalFormatting sqref="G64">
    <cfRule type="expression" dxfId="96" priority="18">
      <formula>AND($E$20&lt;&gt;"Household 4",$E$21&lt;&gt;"Household 4",$E$22&lt;&gt;"Household 4",$E$23&lt;&gt;"Household 4")</formula>
    </cfRule>
  </conditionalFormatting>
  <conditionalFormatting sqref="E67">
    <cfRule type="expression" dxfId="95" priority="17">
      <formula>AND($E$20&lt;&gt;"Household 2",$E$21&lt;&gt;"Household 2",$E$22&lt;&gt;"Household 2",$E$23&lt;&gt;"Household 2")</formula>
    </cfRule>
  </conditionalFormatting>
  <conditionalFormatting sqref="F67">
    <cfRule type="expression" dxfId="94" priority="16">
      <formula>AND($E$20&lt;&gt;"Household 3",$E$21&lt;&gt;"Household 3",$E$22&lt;&gt;"Household 3",$E$23&lt;&gt;"Household 3")</formula>
    </cfRule>
  </conditionalFormatting>
  <conditionalFormatting sqref="G67">
    <cfRule type="expression" dxfId="93" priority="15">
      <formula>AND($E$20&lt;&gt;"Household 4",$E$21&lt;&gt;"Household 4",$E$22&lt;&gt;"Household 4",$E$23&lt;&gt;"Household 4")</formula>
    </cfRule>
  </conditionalFormatting>
  <conditionalFormatting sqref="H30 N25:P30 E25:F30 C25:C30 I25:I30">
    <cfRule type="expression" dxfId="92" priority="45" stopIfTrue="1">
      <formula>#REF!&gt;0</formula>
    </cfRule>
    <cfRule type="expression" dxfId="91" priority="46" stopIfTrue="1">
      <formula>#REF!&lt;0</formula>
    </cfRule>
  </conditionalFormatting>
  <conditionalFormatting sqref="G108">
    <cfRule type="cellIs" dxfId="90" priority="14" operator="lessThan">
      <formula>1.001</formula>
    </cfRule>
  </conditionalFormatting>
  <conditionalFormatting sqref="G100">
    <cfRule type="cellIs" dxfId="89" priority="13" operator="lessThan">
      <formula>0</formula>
    </cfRule>
  </conditionalFormatting>
  <conditionalFormatting sqref="D41">
    <cfRule type="expression" dxfId="88" priority="12">
      <formula>$D$21=0</formula>
    </cfRule>
  </conditionalFormatting>
  <conditionalFormatting sqref="D42">
    <cfRule type="expression" dxfId="87" priority="11">
      <formula>$D$22=0</formula>
    </cfRule>
  </conditionalFormatting>
  <conditionalFormatting sqref="D43">
    <cfRule type="expression" dxfId="86" priority="10">
      <formula>$D$23=0</formula>
    </cfRule>
  </conditionalFormatting>
  <conditionalFormatting sqref="F35">
    <cfRule type="expression" dxfId="85" priority="9">
      <formula>$D$22=0</formula>
    </cfRule>
  </conditionalFormatting>
  <conditionalFormatting sqref="F36">
    <cfRule type="expression" dxfId="84" priority="8">
      <formula>$D$23=0</formula>
    </cfRule>
  </conditionalFormatting>
  <conditionalFormatting sqref="F33:F34">
    <cfRule type="expression" dxfId="83" priority="7">
      <formula>$D$21=0</formula>
    </cfRule>
  </conditionalFormatting>
  <conditionalFormatting sqref="D34">
    <cfRule type="expression" dxfId="82" priority="6">
      <formula>$D$21=0</formula>
    </cfRule>
  </conditionalFormatting>
  <conditionalFormatting sqref="D36">
    <cfRule type="expression" dxfId="81" priority="5">
      <formula>$D$23=0</formula>
    </cfRule>
  </conditionalFormatting>
  <conditionalFormatting sqref="E34">
    <cfRule type="expression" dxfId="80" priority="4">
      <formula>$D$21=0</formula>
    </cfRule>
  </conditionalFormatting>
  <conditionalFormatting sqref="E35">
    <cfRule type="expression" dxfId="79" priority="3">
      <formula>$D$22=0</formula>
    </cfRule>
  </conditionalFormatting>
  <conditionalFormatting sqref="E36">
    <cfRule type="expression" dxfId="78" priority="2">
      <formula>$D$23=0</formula>
    </cfRule>
  </conditionalFormatting>
  <conditionalFormatting sqref="D35">
    <cfRule type="expression" dxfId="77" priority="1">
      <formula>$D$22=0</formula>
    </cfRule>
  </conditionalFormatting>
  <dataValidations count="8">
    <dataValidation type="decimal" allowBlank="1" showErrorMessage="1" errorTitle="Household Details Required" error="Income details may only be entered when household details have been entered for that applicant." prompt="I" sqref="F33:F36" xr:uid="{149D7C77-9EB9-4992-A096-A21CF48376F6}">
      <formula1>0</formula1>
      <formula2>IF($N33=0,0,999999999)</formula2>
    </dataValidation>
    <dataValidation type="decimal" allowBlank="1" showErrorMessage="1" errorTitle="Household Details Required" error="Income may only be entered for an applicant if household details have been entered for that applicant." sqref="D40:D43" xr:uid="{3255DF04-B8B7-411D-A580-693CD6A7E575}">
      <formula1>0</formula1>
      <formula2>IF(N40=0,0,999999999)</formula2>
    </dataValidation>
    <dataValidation type="whole" allowBlank="1" showInputMessage="1" showErrorMessage="1" errorTitle="Maximum Loan Term Exceeded" error="Loan term must not exceed 30 years if Principal &amp; Interest or 5 years if Interest Only" sqref="H7" xr:uid="{E4820176-F311-4EC9-AE33-1D345F5E8543}">
      <formula1>0</formula1>
      <formula2>IF(O6="Interest Only",5,30)</formula2>
    </dataValidation>
    <dataValidation type="custom" allowBlank="1" showErrorMessage="1" errorTitle="Household Details Required" error="Income may only be entered for an applicant if household details have been entered for that applicant." sqref="E34:E36" xr:uid="{7530DB3F-67D0-42E9-9F62-3B93F5F0BCEB}">
      <formula1>N34&lt;&gt;0</formula1>
    </dataValidation>
    <dataValidation type="whole" allowBlank="1" showInputMessage="1" showErrorMessage="1" errorTitle="Interest Only Term Incorrect" error="Maximum interest only term of 5 years or total loan term." sqref="D9:F9" xr:uid="{0598A577-C8BB-4CB8-A578-ECF8B7D4459A}">
      <formula1>0</formula1>
      <formula2>IF(D8&lt;5,D8,5)</formula2>
    </dataValidation>
    <dataValidation type="whole" allowBlank="1" showInputMessage="1" showErrorMessage="1" errorTitle="Maximum Loan Term Exceeded" error="Loan term must not exceed 40 years." sqref="D8:F8" xr:uid="{1FED2744-E232-4433-830D-7510B5C361E6}">
      <formula1>0</formula1>
      <formula2>40</formula2>
    </dataValidation>
    <dataValidation type="custom" allowBlank="1" showErrorMessage="1" errorTitle="Household Details Required" error="Income details may only be entered when household details have been entered for that applicant." prompt="I" sqref="D33:D36" xr:uid="{E7D9841C-DE21-455B-BF04-1743B20E43E2}">
      <formula1>N33&lt;&gt;0</formula1>
    </dataValidation>
    <dataValidation type="custom" allowBlank="1" showErrorMessage="1" errorTitle="Household Details Required" error="Income details may only be entered when household details have been entered for that applicant." prompt="I" sqref="E33" xr:uid="{771A0CDC-A087-448E-8F7E-C218658765B8}">
      <formula1>N33&lt;&gt;0</formula1>
    </dataValidation>
  </dataValidations>
  <pageMargins left="0.7" right="0.7" top="0.75" bottom="0.75" header="0.3" footer="0.3"/>
  <pageSetup paperSize="9" scale="49" orientation="portrait" cellComments="atEnd" horizontalDpi="1200" verticalDpi="1200" r:id="rId1"/>
  <ignoredErrors>
    <ignoredError sqref="F35:F36 D40:D4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54273" r:id="rId4" name="Button 1">
              <controlPr locked="0" defaultSize="0" print="0" autoFill="0" autoPict="0" macro="[0]!Sheet26.ClearUnlockedCells">
                <anchor moveWithCells="1">
                  <from>
                    <xdr:col>6</xdr:col>
                    <xdr:colOff>123825</xdr:colOff>
                    <xdr:row>2</xdr:row>
                    <xdr:rowOff>133350</xdr:rowOff>
                  </from>
                  <to>
                    <xdr:col>6</xdr:col>
                    <xdr:colOff>1657350</xdr:colOff>
                    <xdr:row>5</xdr:row>
                    <xdr:rowOff>47625</xdr:rowOff>
                  </to>
                </anchor>
              </controlPr>
            </control>
          </mc:Choice>
        </mc:AlternateContent>
        <mc:AlternateContent xmlns:mc="http://schemas.openxmlformats.org/markup-compatibility/2006">
          <mc:Choice Requires="x14">
            <control shapeId="54274" r:id="rId5" name="Button 2">
              <controlPr locked="0" defaultSize="0" print="0" autoFill="0" autoPict="0" macro="[0]!Macro1">
                <anchor moveWithCells="1">
                  <from>
                    <xdr:col>6</xdr:col>
                    <xdr:colOff>123825</xdr:colOff>
                    <xdr:row>6</xdr:row>
                    <xdr:rowOff>76200</xdr:rowOff>
                  </from>
                  <to>
                    <xdr:col>6</xdr:col>
                    <xdr:colOff>1666875</xdr:colOff>
                    <xdr:row>8</xdr:row>
                    <xdr:rowOff>142875</xdr:rowOff>
                  </to>
                </anchor>
              </controlPr>
            </control>
          </mc:Choice>
        </mc:AlternateContent>
        <mc:AlternateContent xmlns:mc="http://schemas.openxmlformats.org/markup-compatibility/2006">
          <mc:Choice Requires="x14">
            <control shapeId="54277" r:id="rId6" name="S_E_WorksheetSME">
              <controlPr defaultSize="0" print="0" autoFill="0" autoPict="0" macro="[0]!S_E_WorksheetSME_click">
                <anchor moveWithCells="1" sizeWithCells="1">
                  <from>
                    <xdr:col>2</xdr:col>
                    <xdr:colOff>2152650</xdr:colOff>
                    <xdr:row>48</xdr:row>
                    <xdr:rowOff>47625</xdr:rowOff>
                  </from>
                  <to>
                    <xdr:col>3</xdr:col>
                    <xdr:colOff>1571625</xdr:colOff>
                    <xdr:row>49</xdr:row>
                    <xdr:rowOff>76200</xdr:rowOff>
                  </to>
                </anchor>
              </controlPr>
            </control>
          </mc:Choice>
        </mc:AlternateContent>
        <mc:AlternateContent xmlns:mc="http://schemas.openxmlformats.org/markup-compatibility/2006">
          <mc:Choice Requires="x14">
            <control shapeId="54278" r:id="rId7" name="S_E_Worksheet">
              <controlPr defaultSize="0" print="0" autoFill="0" autoPict="0" macro="[0]!Sheet19.R_G_WorksheetSME_Click">
                <anchor moveWithCells="1" sizeWithCells="1">
                  <from>
                    <xdr:col>4</xdr:col>
                    <xdr:colOff>1295400</xdr:colOff>
                    <xdr:row>36</xdr:row>
                    <xdr:rowOff>66675</xdr:rowOff>
                  </from>
                  <to>
                    <xdr:col>5</xdr:col>
                    <xdr:colOff>1590675</xdr:colOff>
                    <xdr:row>38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15216872-8C3A-4321-958B-B6BBF58EE950}">
          <x14:formula1>
            <xm:f>RepayCalculator!$C$12:$C$20</xm:f>
          </x14:formula1>
          <xm:sqref>C81:C91</xm:sqref>
        </x14:dataValidation>
        <x14:dataValidation type="list" allowBlank="1" showInputMessage="1" showErrorMessage="1" xr:uid="{8EBB8473-15A8-4151-8813-FFFF16445F14}">
          <x14:formula1>
            <xm:f>RepayCalculator!$E$12:$E$13</xm:f>
          </x14:formula1>
          <xm:sqref>F20:F23</xm:sqref>
        </x14:dataValidation>
        <x14:dataValidation type="list" allowBlank="1" showInputMessage="1" showErrorMessage="1" xr:uid="{CE7D78F5-03DB-42F4-8D90-D2F56339435A}">
          <x14:formula1>
            <xm:f>RepayCalculator!$F$12:$F$15</xm:f>
          </x14:formula1>
          <xm:sqref>E20:E23</xm:sqref>
        </x14:dataValidation>
        <x14:dataValidation type="list" allowBlank="1" showInputMessage="1" showErrorMessage="1" xr:uid="{67FE84AC-82DA-43A8-9E95-41E4BCF6FBB4}">
          <x14:formula1>
            <xm:f>RepayCalculator!$G$12:$G$22</xm:f>
          </x14:formula1>
          <xm:sqref>G21:G30 F20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912B1-8728-4A93-A806-1E3C124DFF39}">
  <sheetPr codeName="Sheet1">
    <pageSetUpPr fitToPage="1"/>
  </sheetPr>
  <dimension ref="C1:O122"/>
  <sheetViews>
    <sheetView showGridLines="0" zoomScale="95" zoomScaleNormal="95" workbookViewId="0">
      <selection activeCell="C3" sqref="C3"/>
    </sheetView>
  </sheetViews>
  <sheetFormatPr defaultColWidth="8.7109375" defaultRowHeight="15"/>
  <cols>
    <col min="1" max="1" width="8.7109375" style="16" customWidth="1"/>
    <col min="2" max="2" width="2.85546875" style="16" customWidth="1"/>
    <col min="3" max="3" width="41" style="16" customWidth="1"/>
    <col min="4" max="4" width="15.28515625" style="16" customWidth="1"/>
    <col min="5" max="5" width="14.42578125" style="16" customWidth="1"/>
    <col min="6" max="6" width="19.140625" style="16" customWidth="1"/>
    <col min="7" max="7" width="21.7109375" style="16" customWidth="1"/>
    <col min="8" max="8" width="15.140625" style="16" customWidth="1"/>
    <col min="9" max="9" width="17.85546875" style="16" customWidth="1"/>
    <col min="10" max="12" width="8.7109375" style="16" customWidth="1"/>
    <col min="13" max="13" width="12.28515625" style="16" hidden="1" customWidth="1"/>
    <col min="14" max="14" width="16.28515625" style="16" hidden="1" customWidth="1"/>
    <col min="15" max="15" width="13.85546875" style="16" hidden="1" customWidth="1"/>
    <col min="16" max="18" width="8.7109375" style="16" customWidth="1"/>
    <col min="19" max="16384" width="8.7109375" style="16"/>
  </cols>
  <sheetData>
    <row r="1" spans="3:7">
      <c r="E1" s="434"/>
    </row>
    <row r="3" spans="3:7" ht="55.5" customHeight="1">
      <c r="D3" s="17"/>
    </row>
    <row r="4" spans="3:7">
      <c r="C4" s="16" t="s">
        <v>1050</v>
      </c>
      <c r="D4" s="434"/>
      <c r="E4" s="434"/>
      <c r="F4" s="769">
        <f ca="1">TODAY()</f>
        <v>45576</v>
      </c>
      <c r="G4" s="769"/>
    </row>
    <row r="5" spans="3:7">
      <c r="C5" s="705" t="s">
        <v>0</v>
      </c>
      <c r="D5" s="706"/>
      <c r="E5" s="706"/>
      <c r="F5" s="706"/>
      <c r="G5" s="707"/>
    </row>
    <row r="6" spans="3:7">
      <c r="C6" s="590" t="s">
        <v>1</v>
      </c>
      <c r="D6" s="780" t="s">
        <v>1055</v>
      </c>
      <c r="E6" s="781"/>
      <c r="F6" s="781"/>
      <c r="G6" s="781"/>
    </row>
    <row r="7" spans="3:7">
      <c r="C7" s="591" t="s">
        <v>2</v>
      </c>
      <c r="D7" s="478"/>
      <c r="E7" s="782" t="s">
        <v>5</v>
      </c>
      <c r="F7" s="783"/>
      <c r="G7" s="479"/>
    </row>
    <row r="8" spans="3:7">
      <c r="C8" s="591" t="s">
        <v>3</v>
      </c>
      <c r="D8" s="478"/>
      <c r="E8" s="784" t="s">
        <v>6</v>
      </c>
      <c r="F8" s="785"/>
      <c r="G8" s="480"/>
    </row>
    <row r="9" spans="3:7">
      <c r="C9" s="592" t="s">
        <v>4</v>
      </c>
      <c r="D9" s="708" t="e">
        <f>D7/D8</f>
        <v>#DIV/0!</v>
      </c>
      <c r="E9" s="786" t="s">
        <v>7</v>
      </c>
      <c r="F9" s="787"/>
      <c r="G9" s="708">
        <f>IF(G8&lt;3.5%,5.5%,G8+RepayCalculator!B6)</f>
        <v>5.5E-2</v>
      </c>
    </row>
    <row r="11" spans="3:7" ht="15" customHeight="1">
      <c r="C11" s="709" t="s">
        <v>8</v>
      </c>
      <c r="D11" s="710"/>
      <c r="E11" s="795" t="s">
        <v>225</v>
      </c>
      <c r="F11" s="796"/>
      <c r="G11" s="797"/>
    </row>
    <row r="12" spans="3:7">
      <c r="C12" s="590" t="s">
        <v>9</v>
      </c>
      <c r="D12" s="262"/>
      <c r="E12" s="778" t="s">
        <v>226</v>
      </c>
      <c r="F12" s="779"/>
      <c r="G12" s="262"/>
    </row>
    <row r="13" spans="3:7">
      <c r="C13" s="591" t="s">
        <v>10</v>
      </c>
      <c r="D13" s="263"/>
      <c r="E13" s="788" t="s">
        <v>227</v>
      </c>
      <c r="F13" s="789"/>
      <c r="G13" s="262"/>
    </row>
    <row r="14" spans="3:7">
      <c r="C14" s="591" t="s">
        <v>237</v>
      </c>
      <c r="D14" s="481"/>
      <c r="E14" s="788" t="s">
        <v>228</v>
      </c>
      <c r="F14" s="789"/>
      <c r="G14" s="262"/>
    </row>
    <row r="15" spans="3:7">
      <c r="C15" s="591" t="s">
        <v>234</v>
      </c>
      <c r="D15" s="481"/>
      <c r="E15" s="788" t="s">
        <v>229</v>
      </c>
      <c r="F15" s="789"/>
      <c r="G15" s="262"/>
    </row>
    <row r="16" spans="3:7" ht="15" customHeight="1">
      <c r="C16" s="591" t="s">
        <v>236</v>
      </c>
      <c r="D16" s="264"/>
      <c r="E16" s="788" t="s">
        <v>230</v>
      </c>
      <c r="F16" s="789"/>
      <c r="G16" s="262"/>
    </row>
    <row r="17" spans="3:7">
      <c r="C17" s="592" t="s">
        <v>11</v>
      </c>
      <c r="D17" s="481"/>
      <c r="E17" s="798" t="s">
        <v>239</v>
      </c>
      <c r="F17" s="799"/>
      <c r="G17" s="593">
        <f>G16+D15+D16+D7-(G12+G13+G14+G15)</f>
        <v>0</v>
      </c>
    </row>
    <row r="19" spans="3:7">
      <c r="C19" s="705" t="s">
        <v>13</v>
      </c>
      <c r="D19" s="265"/>
      <c r="E19" s="705" t="s">
        <v>238</v>
      </c>
      <c r="F19" s="705"/>
      <c r="G19" s="266"/>
    </row>
    <row r="21" spans="3:7">
      <c r="C21" s="709" t="str">
        <f>IF(OR(ISBLANK(G19),G19=0,G19=1),"Existing Commitments","Existing Commitments (Existing SMSF Investment 1)")</f>
        <v>Existing Commitments</v>
      </c>
      <c r="D21" s="711"/>
      <c r="E21" s="790" t="s">
        <v>231</v>
      </c>
      <c r="F21" s="791"/>
      <c r="G21" s="792"/>
    </row>
    <row r="22" spans="3:7">
      <c r="C22" s="590" t="s">
        <v>235</v>
      </c>
      <c r="D22" s="262"/>
      <c r="E22" s="782" t="s">
        <v>235</v>
      </c>
      <c r="F22" s="783"/>
      <c r="G22" s="262"/>
    </row>
    <row r="23" spans="3:7">
      <c r="C23" s="591" t="s">
        <v>39</v>
      </c>
      <c r="D23" s="262"/>
      <c r="E23" s="784" t="s">
        <v>39</v>
      </c>
      <c r="F23" s="785"/>
      <c r="G23" s="262"/>
    </row>
    <row r="24" spans="3:7">
      <c r="C24" s="591" t="s">
        <v>224</v>
      </c>
      <c r="D24" s="267"/>
      <c r="E24" s="784" t="s">
        <v>224</v>
      </c>
      <c r="F24" s="785"/>
      <c r="G24" s="267"/>
    </row>
    <row r="25" spans="3:7">
      <c r="C25" s="592" t="s">
        <v>257</v>
      </c>
      <c r="D25" s="481"/>
      <c r="E25" s="786" t="s">
        <v>257</v>
      </c>
      <c r="F25" s="787"/>
      <c r="G25" s="263"/>
    </row>
    <row r="26" spans="3:7" hidden="1"/>
    <row r="27" spans="3:7" hidden="1">
      <c r="C27" s="709" t="s">
        <v>232</v>
      </c>
      <c r="D27" s="711"/>
      <c r="E27" s="790" t="s">
        <v>233</v>
      </c>
      <c r="F27" s="791"/>
      <c r="G27" s="792"/>
    </row>
    <row r="28" spans="3:7" hidden="1">
      <c r="C28" s="590" t="s">
        <v>235</v>
      </c>
      <c r="D28" s="262"/>
      <c r="E28" s="782" t="s">
        <v>235</v>
      </c>
      <c r="F28" s="783"/>
      <c r="G28" s="262"/>
    </row>
    <row r="29" spans="3:7" hidden="1">
      <c r="C29" s="591" t="s">
        <v>39</v>
      </c>
      <c r="D29" s="262"/>
      <c r="E29" s="784" t="s">
        <v>39</v>
      </c>
      <c r="F29" s="785"/>
      <c r="G29" s="262"/>
    </row>
    <row r="30" spans="3:7" hidden="1">
      <c r="C30" s="591" t="s">
        <v>224</v>
      </c>
      <c r="D30" s="267"/>
      <c r="E30" s="784" t="s">
        <v>224</v>
      </c>
      <c r="F30" s="785"/>
      <c r="G30" s="267"/>
    </row>
    <row r="31" spans="3:7" hidden="1">
      <c r="C31" s="592" t="s">
        <v>257</v>
      </c>
      <c r="D31" s="263"/>
      <c r="E31" s="786" t="s">
        <v>257</v>
      </c>
      <c r="F31" s="787"/>
      <c r="G31" s="263"/>
    </row>
    <row r="32" spans="3:7">
      <c r="D32" s="18"/>
    </row>
    <row r="33" spans="3:15">
      <c r="C33" s="705" t="s">
        <v>45</v>
      </c>
      <c r="D33" s="712"/>
      <c r="E33" s="713"/>
      <c r="F33" s="713"/>
      <c r="G33" s="707"/>
    </row>
    <row r="34" spans="3:15">
      <c r="C34" s="594" t="s">
        <v>14</v>
      </c>
      <c r="D34" s="595">
        <f>'Calculations breakdown'!C6</f>
        <v>0</v>
      </c>
      <c r="E34" s="776" t="s">
        <v>31</v>
      </c>
      <c r="F34" s="777"/>
      <c r="G34" s="596" t="e">
        <f>'Calculations breakdown'!C28</f>
        <v>#NUM!</v>
      </c>
    </row>
    <row r="35" spans="3:15" hidden="1">
      <c r="C35" s="597" t="s">
        <v>15</v>
      </c>
      <c r="D35" s="598">
        <f>'Calculations breakdown'!C12</f>
        <v>2000</v>
      </c>
      <c r="E35" s="135"/>
      <c r="F35" s="136"/>
      <c r="G35" s="599"/>
    </row>
    <row r="36" spans="3:15" hidden="1">
      <c r="C36" s="597" t="s">
        <v>16</v>
      </c>
      <c r="D36" s="598">
        <f>SUM('Calculations breakdown'!C7:C11)</f>
        <v>0</v>
      </c>
      <c r="E36" s="135"/>
      <c r="F36" s="136"/>
      <c r="G36" s="599"/>
    </row>
    <row r="37" spans="3:15">
      <c r="C37" s="600" t="s">
        <v>18</v>
      </c>
      <c r="D37" s="598">
        <f>'Calculations breakdown'!C15</f>
        <v>0</v>
      </c>
      <c r="E37" s="774" t="s">
        <v>58</v>
      </c>
      <c r="F37" s="775"/>
      <c r="G37" s="601" t="e">
        <f>'Calculations breakdown'!C26</f>
        <v>#NUM!</v>
      </c>
    </row>
    <row r="38" spans="3:15" hidden="1">
      <c r="C38" s="597" t="s">
        <v>17</v>
      </c>
      <c r="D38" s="598">
        <f>'Calculations breakdown'!C14</f>
        <v>0</v>
      </c>
      <c r="E38" s="135"/>
      <c r="F38" s="136"/>
      <c r="G38" s="599"/>
    </row>
    <row r="39" spans="3:15">
      <c r="C39" s="600" t="s">
        <v>1046</v>
      </c>
      <c r="D39" s="598">
        <f>'Calculations breakdown'!C21</f>
        <v>-2000</v>
      </c>
      <c r="E39" s="774" t="s">
        <v>41</v>
      </c>
      <c r="F39" s="775"/>
      <c r="G39" s="602" t="e">
        <f>IF(AND(G37&gt;41.67,G34&gt;1),"Pass","Fail")</f>
        <v>#NUM!</v>
      </c>
    </row>
    <row r="40" spans="3:15" hidden="1">
      <c r="C40" s="597" t="s">
        <v>19</v>
      </c>
      <c r="D40" s="598">
        <f>'Calculations breakdown'!C16</f>
        <v>0</v>
      </c>
      <c r="E40" s="132"/>
      <c r="F40" s="137"/>
      <c r="G40" s="138"/>
    </row>
    <row r="41" spans="3:15" hidden="1">
      <c r="C41" s="597" t="s">
        <v>20</v>
      </c>
      <c r="D41" s="598">
        <f>'Calculations breakdown'!C17</f>
        <v>2000</v>
      </c>
      <c r="E41" s="132"/>
      <c r="F41" s="137"/>
      <c r="G41" s="138"/>
    </row>
    <row r="42" spans="3:15" hidden="1">
      <c r="E42" s="132"/>
      <c r="F42" s="137"/>
      <c r="G42" s="138"/>
    </row>
    <row r="43" spans="3:15">
      <c r="C43" s="603" t="s">
        <v>29</v>
      </c>
      <c r="D43" s="598" t="e">
        <f>'Calculations breakdown'!D22</f>
        <v>#NUM!</v>
      </c>
      <c r="E43" s="774" t="s">
        <v>972</v>
      </c>
      <c r="F43" s="775"/>
      <c r="G43" s="602" t="e">
        <f>IF(G17&gt;(D44*3),"Pass","Fail")</f>
        <v>#NUM!</v>
      </c>
    </row>
    <row r="44" spans="3:15">
      <c r="C44" s="604" t="s">
        <v>30</v>
      </c>
      <c r="D44" s="605" t="e">
        <f>'Calculations breakdown'!D23</f>
        <v>#NUM!</v>
      </c>
      <c r="E44" s="793" t="s">
        <v>971</v>
      </c>
      <c r="F44" s="794"/>
      <c r="G44" s="601">
        <f>(D8+D22+D28+G22+G28+G17)-(D7+D23+G23+D29+G29)</f>
        <v>0</v>
      </c>
    </row>
    <row r="47" spans="3:15">
      <c r="C47" s="714" t="s">
        <v>240</v>
      </c>
      <c r="D47" s="715"/>
      <c r="E47" s="715"/>
      <c r="F47" s="716"/>
      <c r="M47" s="188"/>
      <c r="N47" s="189"/>
      <c r="O47" s="189"/>
    </row>
    <row r="48" spans="3:15" ht="32.25">
      <c r="C48" s="190" t="s">
        <v>98</v>
      </c>
      <c r="D48" s="191" t="s">
        <v>99</v>
      </c>
      <c r="E48" s="191" t="s">
        <v>101</v>
      </c>
      <c r="F48" s="192" t="s">
        <v>103</v>
      </c>
      <c r="M48" s="188"/>
      <c r="N48" s="193"/>
      <c r="O48" s="189"/>
    </row>
    <row r="49" spans="3:15">
      <c r="C49" s="606" t="s">
        <v>241</v>
      </c>
      <c r="D49" s="133"/>
      <c r="E49" s="119"/>
      <c r="F49" s="119"/>
      <c r="M49" s="194"/>
      <c r="N49" s="195">
        <v>0</v>
      </c>
      <c r="O49" s="196"/>
    </row>
    <row r="50" spans="3:15">
      <c r="C50" s="607" t="s">
        <v>242</v>
      </c>
      <c r="D50" s="133"/>
      <c r="E50" s="119"/>
      <c r="F50" s="119"/>
      <c r="M50" s="194"/>
      <c r="N50" s="197"/>
      <c r="O50" s="196"/>
    </row>
    <row r="51" spans="3:15">
      <c r="C51" s="607" t="s">
        <v>243</v>
      </c>
      <c r="D51" s="133"/>
      <c r="E51" s="119"/>
      <c r="F51" s="119"/>
      <c r="M51" s="194"/>
      <c r="N51" s="198"/>
      <c r="O51" s="196"/>
    </row>
    <row r="52" spans="3:15">
      <c r="C52" s="607" t="s">
        <v>244</v>
      </c>
      <c r="D52" s="466"/>
      <c r="E52" s="119"/>
      <c r="F52" s="119"/>
      <c r="M52" s="194"/>
      <c r="N52" s="467"/>
      <c r="O52" s="196"/>
    </row>
    <row r="53" spans="3:15">
      <c r="C53" s="607" t="s">
        <v>950</v>
      </c>
      <c r="D53" s="466"/>
      <c r="E53" s="119"/>
      <c r="F53" s="119"/>
      <c r="M53" s="194"/>
      <c r="N53" s="467"/>
      <c r="O53" s="196"/>
    </row>
    <row r="54" spans="3:15">
      <c r="C54" s="607" t="s">
        <v>951</v>
      </c>
      <c r="D54" s="133"/>
      <c r="E54" s="119"/>
      <c r="F54" s="119"/>
      <c r="M54" s="194"/>
      <c r="N54" s="196"/>
      <c r="O54" s="196"/>
    </row>
    <row r="55" spans="3:15">
      <c r="C55" s="199"/>
      <c r="D55" s="200"/>
      <c r="E55" s="200"/>
      <c r="F55" s="201"/>
      <c r="M55" s="194"/>
      <c r="N55" s="196"/>
      <c r="O55" s="196"/>
    </row>
    <row r="56" spans="3:15" ht="15" hidden="1" customHeight="1">
      <c r="C56" s="202" t="s">
        <v>104</v>
      </c>
      <c r="D56" s="203" t="s">
        <v>105</v>
      </c>
      <c r="E56" s="196" t="s">
        <v>106</v>
      </c>
      <c r="F56" s="204" t="s">
        <v>108</v>
      </c>
      <c r="M56" s="203" t="s">
        <v>101</v>
      </c>
      <c r="N56" s="196" t="s">
        <v>107</v>
      </c>
      <c r="O56" s="205"/>
    </row>
    <row r="57" spans="3:15" ht="15" hidden="1" customHeight="1">
      <c r="C57" s="206" t="s">
        <v>109</v>
      </c>
      <c r="D57" s="203">
        <f>SUMIF($D$49:$D$54,C57,$F$49:$F$54)</f>
        <v>0</v>
      </c>
      <c r="E57" s="196" t="str">
        <f>M57&amp;" with "&amp;D57&amp;" children"</f>
        <v>N/A with 0 children</v>
      </c>
      <c r="F57" s="207">
        <f>_xlfn.IFNA(VLOOKUP(E57,HEM!$B$12:$P$34,O57,FALSE),0)*52/12</f>
        <v>0</v>
      </c>
      <c r="M57" s="203" t="str">
        <f>_xlfn.IFNA(VLOOKUP(C57,$D$49:$E$54,2,FALSE),"N/A")</f>
        <v>N/A</v>
      </c>
      <c r="N57" s="196">
        <f t="shared" ref="N57:N62" si="0">SUMIF($M$67:$M$72,C57,$D$67:$D$72)+SUMIF($M$67:$M$72,C57,$E$67:$E$72)+SUMIF($M$76:$M$81,C57,$O$76:$O$81)</f>
        <v>0</v>
      </c>
      <c r="O57" s="205" t="str">
        <f>LOOKUP(N57,HEM!$C$9:$P$9,HEM!$C$7:$P$7)</f>
        <v>2</v>
      </c>
    </row>
    <row r="58" spans="3:15" ht="15" hidden="1" customHeight="1">
      <c r="C58" s="206" t="s">
        <v>100</v>
      </c>
      <c r="D58" s="203">
        <f>SUMIF($D$49:$D$54,C58,$F$49:$F$54)</f>
        <v>0</v>
      </c>
      <c r="E58" s="196" t="str">
        <f>M58&amp;" with "&amp;D58&amp;" children"</f>
        <v>N/A with 0 children</v>
      </c>
      <c r="F58" s="207">
        <f>_xlfn.IFNA(VLOOKUP(E58,HEM!$B$12:$P$34,O58,FALSE),0)*52/12</f>
        <v>0</v>
      </c>
      <c r="M58" s="203" t="str">
        <f>_xlfn.IFNA(VLOOKUP(C58,$D$49:$E$54,2,FALSE),"N/A")</f>
        <v>N/A</v>
      </c>
      <c r="N58" s="196">
        <f t="shared" si="0"/>
        <v>0</v>
      </c>
      <c r="O58" s="205" t="str">
        <f>LOOKUP(N58,HEM!$C$9:$P$9,HEM!$C$7:$P$7)</f>
        <v>2</v>
      </c>
    </row>
    <row r="59" spans="3:15" ht="15" hidden="1" customHeight="1">
      <c r="C59" s="206" t="s">
        <v>110</v>
      </c>
      <c r="D59" s="203">
        <f>SUMIF($D$49:$D$54,C59,$F$49:$F$54)</f>
        <v>0</v>
      </c>
      <c r="E59" s="196" t="str">
        <f>M59&amp;" with "&amp;D59&amp;" children"</f>
        <v>N/A with 0 children</v>
      </c>
      <c r="F59" s="207">
        <f>_xlfn.IFNA(VLOOKUP(E59,HEM!$B$12:$P$34,O59,FALSE),0)*52/12</f>
        <v>0</v>
      </c>
      <c r="M59" s="203" t="str">
        <f>_xlfn.IFNA(VLOOKUP(C59,$D$49:$E$54,2,FALSE),"N/A")</f>
        <v>N/A</v>
      </c>
      <c r="N59" s="196">
        <f t="shared" si="0"/>
        <v>0</v>
      </c>
      <c r="O59" s="205" t="str">
        <f>LOOKUP(N59,HEM!$C$9:$P$9,HEM!$C$7:$P$7)</f>
        <v>2</v>
      </c>
    </row>
    <row r="60" spans="3:15" ht="15" hidden="1" customHeight="1">
      <c r="C60" s="206" t="s">
        <v>111</v>
      </c>
      <c r="D60" s="203">
        <f t="shared" ref="D60:D62" si="1">SUMIF($D$49:$D$54,C60,$F$49:$F$54)</f>
        <v>0</v>
      </c>
      <c r="E60" s="196" t="str">
        <f t="shared" ref="E60:E62" si="2">M60&amp;" with "&amp;D60&amp;" children"</f>
        <v>N/A with 0 children</v>
      </c>
      <c r="F60" s="207">
        <f>_xlfn.IFNA(VLOOKUP(E60,HEM!$B$12:$P$34,O60,FALSE),0)*52/12</f>
        <v>0</v>
      </c>
      <c r="M60" s="203" t="str">
        <f t="shared" ref="M60:M62" si="3">_xlfn.IFNA(VLOOKUP(C60,$D$49:$E$54,2,FALSE),"N/A")</f>
        <v>N/A</v>
      </c>
      <c r="N60" s="196">
        <f t="shared" si="0"/>
        <v>0</v>
      </c>
      <c r="O60" s="205" t="str">
        <f>LOOKUP(N60,HEM!$C$9:$P$9,HEM!$C$7:$P$7)</f>
        <v>2</v>
      </c>
    </row>
    <row r="61" spans="3:15" ht="15" hidden="1" customHeight="1">
      <c r="C61" s="206" t="s">
        <v>952</v>
      </c>
      <c r="D61" s="203">
        <f t="shared" si="1"/>
        <v>0</v>
      </c>
      <c r="E61" s="196" t="str">
        <f t="shared" si="2"/>
        <v>N/A with 0 children</v>
      </c>
      <c r="F61" s="207">
        <f>_xlfn.IFNA(VLOOKUP(E61,HEM!$B$12:$P$34,O61,FALSE),0)*52/12</f>
        <v>0</v>
      </c>
      <c r="M61" s="203" t="str">
        <f t="shared" si="3"/>
        <v>N/A</v>
      </c>
      <c r="N61" s="196">
        <f t="shared" si="0"/>
        <v>0</v>
      </c>
      <c r="O61" s="205" t="str">
        <f>LOOKUP(N61,HEM!$C$9:$P$9,HEM!$C$7:$P$7)</f>
        <v>2</v>
      </c>
    </row>
    <row r="62" spans="3:15" ht="15" hidden="1" customHeight="1">
      <c r="C62" s="206" t="s">
        <v>953</v>
      </c>
      <c r="D62" s="203">
        <f t="shared" si="1"/>
        <v>0</v>
      </c>
      <c r="E62" s="196" t="str">
        <f t="shared" si="2"/>
        <v>N/A with 0 children</v>
      </c>
      <c r="F62" s="207">
        <f>_xlfn.IFNA(VLOOKUP(E62,HEM!$B$12:$P$34,O62,FALSE),0)*52/12</f>
        <v>0</v>
      </c>
      <c r="M62" s="203" t="str">
        <f t="shared" si="3"/>
        <v>N/A</v>
      </c>
      <c r="N62" s="196">
        <f t="shared" si="0"/>
        <v>0</v>
      </c>
      <c r="O62" s="205" t="str">
        <f>LOOKUP(N62,HEM!$C$9:$P$9,HEM!$C$7:$P$7)</f>
        <v>2</v>
      </c>
    </row>
    <row r="63" spans="3:15" ht="15" hidden="1" customHeight="1">
      <c r="C63" s="202" t="s">
        <v>112</v>
      </c>
      <c r="D63" s="203"/>
      <c r="E63" s="203"/>
      <c r="F63" s="208">
        <f>SUM(F57:F62)</f>
        <v>0</v>
      </c>
      <c r="M63" s="194"/>
      <c r="N63" s="196"/>
      <c r="O63" s="196"/>
    </row>
    <row r="64" spans="3:15" ht="15" hidden="1" customHeight="1">
      <c r="C64" s="199"/>
      <c r="D64" s="209"/>
      <c r="E64" s="200"/>
      <c r="F64" s="210"/>
      <c r="M64" s="194"/>
      <c r="N64" s="196"/>
      <c r="O64" s="196"/>
    </row>
    <row r="65" spans="3:15" ht="15" hidden="1" customHeight="1">
      <c r="C65" s="199"/>
      <c r="D65" s="209"/>
      <c r="E65" s="200"/>
      <c r="F65" s="210"/>
      <c r="M65" s="194"/>
      <c r="N65" s="196"/>
      <c r="O65" s="196"/>
    </row>
    <row r="66" spans="3:15" ht="33.75" customHeight="1">
      <c r="C66" s="211" t="s">
        <v>76</v>
      </c>
      <c r="D66" s="191" t="s">
        <v>64</v>
      </c>
      <c r="E66" s="191" t="s">
        <v>113</v>
      </c>
      <c r="F66" s="192" t="s">
        <v>116</v>
      </c>
      <c r="M66" s="212"/>
      <c r="N66" s="213" t="s">
        <v>114</v>
      </c>
      <c r="O66" s="213" t="s">
        <v>115</v>
      </c>
    </row>
    <row r="67" spans="3:15">
      <c r="C67" s="606" t="s">
        <v>245</v>
      </c>
      <c r="D67" s="468"/>
      <c r="E67" s="125"/>
      <c r="F67" s="550">
        <f>'Tax Scales'!Y14+(O67/12)</f>
        <v>0</v>
      </c>
      <c r="M67" s="194">
        <f t="shared" ref="M67:M72" si="4">D49</f>
        <v>0</v>
      </c>
      <c r="N67" s="214">
        <f t="shared" ref="N67:N69" si="5">D67+O76</f>
        <v>0</v>
      </c>
      <c r="O67" s="214">
        <f t="shared" ref="O67:O72" si="6">(E76*12)+E67</f>
        <v>0</v>
      </c>
    </row>
    <row r="68" spans="3:15">
      <c r="C68" s="607" t="s">
        <v>246</v>
      </c>
      <c r="D68" s="468"/>
      <c r="E68" s="125"/>
      <c r="F68" s="550">
        <f>'Tax Scales'!Y27+(O68/12)</f>
        <v>0</v>
      </c>
      <c r="M68" s="194">
        <f t="shared" si="4"/>
        <v>0</v>
      </c>
      <c r="N68" s="214">
        <f t="shared" si="5"/>
        <v>0</v>
      </c>
      <c r="O68" s="214">
        <f t="shared" si="6"/>
        <v>0</v>
      </c>
    </row>
    <row r="69" spans="3:15">
      <c r="C69" s="607" t="s">
        <v>247</v>
      </c>
      <c r="D69" s="468"/>
      <c r="E69" s="125"/>
      <c r="F69" s="550">
        <f>'Tax Scales'!Y40+(O69/12)</f>
        <v>0</v>
      </c>
      <c r="M69" s="194">
        <f t="shared" si="4"/>
        <v>0</v>
      </c>
      <c r="N69" s="214">
        <f t="shared" si="5"/>
        <v>0</v>
      </c>
      <c r="O69" s="214">
        <f t="shared" si="6"/>
        <v>0</v>
      </c>
    </row>
    <row r="70" spans="3:15">
      <c r="C70" s="607" t="s">
        <v>248</v>
      </c>
      <c r="D70" s="468"/>
      <c r="E70" s="382"/>
      <c r="F70" s="550">
        <f>'Tax Scales'!Y53+(O70/12)</f>
        <v>0</v>
      </c>
      <c r="M70" s="194">
        <f t="shared" si="4"/>
        <v>0</v>
      </c>
      <c r="N70" s="214">
        <f>D70+O79</f>
        <v>0</v>
      </c>
      <c r="O70" s="214">
        <f t="shared" si="6"/>
        <v>0</v>
      </c>
    </row>
    <row r="71" spans="3:15">
      <c r="C71" s="607" t="s">
        <v>954</v>
      </c>
      <c r="D71" s="468"/>
      <c r="E71" s="382"/>
      <c r="F71" s="550">
        <f>'Tax Scales'!Y89+(O71/12)</f>
        <v>0</v>
      </c>
      <c r="M71" s="194">
        <f t="shared" si="4"/>
        <v>0</v>
      </c>
      <c r="N71" s="214">
        <f>D71+O80</f>
        <v>0</v>
      </c>
      <c r="O71" s="214">
        <f t="shared" si="6"/>
        <v>0</v>
      </c>
    </row>
    <row r="72" spans="3:15">
      <c r="C72" s="607" t="s">
        <v>955</v>
      </c>
      <c r="D72" s="134"/>
      <c r="E72" s="125"/>
      <c r="F72" s="608">
        <f>'Tax Scales'!Y102+(O72/12)</f>
        <v>0</v>
      </c>
      <c r="M72" s="194">
        <f t="shared" si="4"/>
        <v>0</v>
      </c>
      <c r="N72" s="214">
        <f>D72+O81</f>
        <v>0</v>
      </c>
      <c r="O72" s="470">
        <f t="shared" si="6"/>
        <v>0</v>
      </c>
    </row>
    <row r="73" spans="3:15">
      <c r="C73" s="199"/>
      <c r="D73" s="209"/>
      <c r="E73" s="215"/>
      <c r="F73" s="717">
        <f>SUM(F67:F72)</f>
        <v>0</v>
      </c>
      <c r="M73" s="194"/>
      <c r="N73" s="216"/>
      <c r="O73" s="217"/>
    </row>
    <row r="74" spans="3:15" ht="17.25" customHeight="1">
      <c r="C74" s="218"/>
      <c r="D74" s="219"/>
      <c r="E74" s="220"/>
      <c r="F74" s="221"/>
      <c r="M74" s="222"/>
      <c r="N74" s="196"/>
      <c r="O74" s="196"/>
    </row>
    <row r="75" spans="3:15" ht="51">
      <c r="C75" s="223" t="s">
        <v>117</v>
      </c>
      <c r="D75" s="224" t="s">
        <v>118</v>
      </c>
      <c r="E75" s="225" t="s">
        <v>119</v>
      </c>
      <c r="F75" s="210"/>
      <c r="M75" s="226"/>
      <c r="N75" s="227" t="s">
        <v>120</v>
      </c>
      <c r="O75" s="227" t="s">
        <v>121</v>
      </c>
    </row>
    <row r="76" spans="3:15">
      <c r="C76" s="606" t="s">
        <v>249</v>
      </c>
      <c r="D76" s="131"/>
      <c r="E76" s="125"/>
      <c r="F76" s="210"/>
      <c r="M76" s="194">
        <f t="shared" ref="M76:M81" si="7">D49</f>
        <v>0</v>
      </c>
      <c r="N76" s="228">
        <f>D76*RepayCalculator!$B$44</f>
        <v>0</v>
      </c>
      <c r="O76" s="228">
        <f>N76-(E76*12)</f>
        <v>0</v>
      </c>
    </row>
    <row r="77" spans="3:15">
      <c r="C77" s="607" t="s">
        <v>250</v>
      </c>
      <c r="D77" s="131"/>
      <c r="E77" s="125"/>
      <c r="F77" s="210"/>
      <c r="M77" s="194">
        <f t="shared" si="7"/>
        <v>0</v>
      </c>
      <c r="N77" s="228">
        <f>D77*RepayCalculator!$B$44</f>
        <v>0</v>
      </c>
      <c r="O77" s="228">
        <f>N77-(E77*12)</f>
        <v>0</v>
      </c>
    </row>
    <row r="78" spans="3:15">
      <c r="C78" s="607" t="s">
        <v>251</v>
      </c>
      <c r="D78" s="131"/>
      <c r="E78" s="125"/>
      <c r="F78" s="210"/>
      <c r="M78" s="194">
        <f t="shared" si="7"/>
        <v>0</v>
      </c>
      <c r="N78" s="228">
        <f>D78*RepayCalculator!$B$44</f>
        <v>0</v>
      </c>
      <c r="O78" s="228">
        <f>N78-(E78*12)</f>
        <v>0</v>
      </c>
    </row>
    <row r="79" spans="3:15">
      <c r="C79" s="607" t="s">
        <v>252</v>
      </c>
      <c r="D79" s="131"/>
      <c r="E79" s="382"/>
      <c r="F79" s="469"/>
      <c r="M79" s="194">
        <f t="shared" si="7"/>
        <v>0</v>
      </c>
      <c r="N79" s="228">
        <f>D79*RepayCalculator!$B$44</f>
        <v>0</v>
      </c>
      <c r="O79" s="228">
        <f t="shared" ref="O79:O81" si="8">N79-(E79*12)</f>
        <v>0</v>
      </c>
    </row>
    <row r="80" spans="3:15">
      <c r="C80" s="607" t="s">
        <v>956</v>
      </c>
      <c r="D80" s="131"/>
      <c r="E80" s="382"/>
      <c r="F80" s="469"/>
      <c r="M80" s="194">
        <f t="shared" si="7"/>
        <v>0</v>
      </c>
      <c r="N80" s="228">
        <f>D80*RepayCalculator!$B$44</f>
        <v>0</v>
      </c>
      <c r="O80" s="228">
        <f t="shared" si="8"/>
        <v>0</v>
      </c>
    </row>
    <row r="81" spans="3:15">
      <c r="C81" s="607" t="s">
        <v>957</v>
      </c>
      <c r="D81" s="131"/>
      <c r="E81" s="125"/>
      <c r="F81" s="210"/>
      <c r="M81" s="194">
        <f t="shared" si="7"/>
        <v>0</v>
      </c>
      <c r="N81" s="228">
        <f>D81*RepayCalculator!$B$44</f>
        <v>0</v>
      </c>
      <c r="O81" s="228">
        <f t="shared" si="8"/>
        <v>0</v>
      </c>
    </row>
    <row r="82" spans="3:15">
      <c r="C82" s="199"/>
      <c r="D82" s="220"/>
      <c r="E82" s="220"/>
      <c r="F82" s="210"/>
      <c r="M82" s="194"/>
      <c r="N82" s="196"/>
      <c r="O82" s="196"/>
    </row>
    <row r="83" spans="3:15" ht="26.25">
      <c r="C83" s="223" t="s">
        <v>122</v>
      </c>
      <c r="D83" s="229" t="s">
        <v>123</v>
      </c>
      <c r="E83" s="230" t="s">
        <v>124</v>
      </c>
      <c r="F83" s="231"/>
      <c r="M83" s="194"/>
      <c r="N83" s="232"/>
      <c r="O83" s="232"/>
    </row>
    <row r="84" spans="3:15">
      <c r="C84" s="606" t="s">
        <v>125</v>
      </c>
      <c r="D84" s="131"/>
      <c r="E84" s="125"/>
      <c r="F84" s="550">
        <f>'Tax Scales'!Y109+(E84/12)</f>
        <v>0</v>
      </c>
      <c r="M84" s="194"/>
      <c r="N84" s="228">
        <f>D84/12</f>
        <v>0</v>
      </c>
      <c r="O84" s="228"/>
    </row>
    <row r="85" spans="3:15">
      <c r="C85" s="609" t="s">
        <v>126</v>
      </c>
      <c r="D85" s="131"/>
      <c r="E85" s="125"/>
      <c r="F85" s="550">
        <f>'Tax Scales'!Y116+(E85/12)</f>
        <v>0</v>
      </c>
      <c r="M85" s="194"/>
      <c r="N85" s="233">
        <f>D85/12</f>
        <v>0</v>
      </c>
      <c r="O85" s="233"/>
    </row>
    <row r="86" spans="3:15">
      <c r="C86" s="218"/>
      <c r="D86" s="219"/>
      <c r="E86" s="220"/>
      <c r="F86" s="717">
        <f>SUM(F84:F85)</f>
        <v>0</v>
      </c>
      <c r="M86" s="222"/>
      <c r="N86" s="196"/>
      <c r="O86" s="196"/>
    </row>
    <row r="87" spans="3:15">
      <c r="C87" s="234"/>
      <c r="D87" s="235"/>
      <c r="E87" s="220"/>
      <c r="F87" s="236"/>
      <c r="M87" s="237"/>
      <c r="N87" s="196"/>
      <c r="O87" s="196"/>
    </row>
    <row r="88" spans="3:15">
      <c r="C88" s="190" t="s">
        <v>127</v>
      </c>
      <c r="D88" s="238"/>
      <c r="E88" s="718">
        <f>SUM(D67:D72)+SUM(E67:E68)+SUM(D84:D85)+SUM(D76:D81)</f>
        <v>0</v>
      </c>
      <c r="F88" s="719">
        <f>+F73+F86</f>
        <v>0</v>
      </c>
      <c r="M88" s="188"/>
      <c r="N88" s="214">
        <f>SUM(N67:N76)</f>
        <v>0</v>
      </c>
      <c r="O88" s="196"/>
    </row>
    <row r="89" spans="3:15">
      <c r="C89" s="234"/>
      <c r="D89" s="235"/>
      <c r="E89" s="220"/>
      <c r="F89" s="236"/>
      <c r="M89" s="237"/>
      <c r="N89" s="196"/>
      <c r="O89" s="196"/>
    </row>
    <row r="90" spans="3:15">
      <c r="C90" s="211" t="s">
        <v>128</v>
      </c>
      <c r="D90" s="239"/>
      <c r="E90" s="240"/>
      <c r="F90" s="241"/>
      <c r="M90" s="212"/>
      <c r="N90" s="242"/>
      <c r="O90" s="242"/>
    </row>
    <row r="91" spans="3:15">
      <c r="C91" s="610" t="s">
        <v>129</v>
      </c>
      <c r="D91" s="611"/>
      <c r="E91" s="131"/>
      <c r="F91" s="210"/>
      <c r="M91" s="194"/>
      <c r="N91" s="196"/>
      <c r="O91" s="196"/>
    </row>
    <row r="92" spans="3:15">
      <c r="C92" s="612" t="s">
        <v>130</v>
      </c>
      <c r="D92" s="613"/>
      <c r="E92" s="720">
        <f>IF(F63&gt;E91,F63,E91)</f>
        <v>0</v>
      </c>
      <c r="F92" s="210"/>
      <c r="M92" s="212"/>
      <c r="N92" s="196"/>
      <c r="O92" s="196"/>
    </row>
    <row r="93" spans="3:15">
      <c r="C93" s="614" t="s">
        <v>131</v>
      </c>
      <c r="D93" s="613"/>
      <c r="E93" s="131"/>
      <c r="F93" s="210"/>
      <c r="M93" s="212"/>
      <c r="N93" s="196"/>
      <c r="O93" s="196"/>
    </row>
    <row r="94" spans="3:15">
      <c r="C94" s="614" t="s">
        <v>133</v>
      </c>
      <c r="D94" s="613"/>
      <c r="E94" s="131"/>
      <c r="F94" s="210"/>
      <c r="M94" s="212"/>
      <c r="N94" s="196"/>
      <c r="O94" s="196"/>
    </row>
    <row r="95" spans="3:15">
      <c r="C95" s="615" t="s">
        <v>134</v>
      </c>
      <c r="D95" s="616"/>
      <c r="E95" s="131"/>
      <c r="F95" s="210"/>
      <c r="M95" s="212"/>
      <c r="N95" s="196"/>
      <c r="O95" s="196"/>
    </row>
    <row r="96" spans="3:15">
      <c r="C96" s="211" t="s">
        <v>135</v>
      </c>
      <c r="D96" s="239"/>
      <c r="E96" s="243"/>
      <c r="F96" s="617">
        <f>SUM($E$92:$E$95)</f>
        <v>0</v>
      </c>
      <c r="M96" s="212"/>
      <c r="N96" s="196"/>
      <c r="O96" s="196"/>
    </row>
    <row r="97" spans="3:15">
      <c r="C97" s="244"/>
      <c r="D97" s="245"/>
      <c r="E97" s="200"/>
      <c r="F97" s="231"/>
      <c r="M97" s="246"/>
      <c r="N97" s="203"/>
      <c r="O97" s="203"/>
    </row>
    <row r="98" spans="3:15">
      <c r="C98" s="190" t="s">
        <v>136</v>
      </c>
      <c r="D98" s="238"/>
      <c r="E98" s="235"/>
      <c r="F98" s="721">
        <f>F88-F96</f>
        <v>0</v>
      </c>
      <c r="M98" s="188"/>
      <c r="N98" s="247"/>
      <c r="O98" s="247"/>
    </row>
    <row r="99" spans="3:15">
      <c r="C99" s="248"/>
      <c r="D99" s="249"/>
      <c r="E99" s="249"/>
      <c r="F99" s="236"/>
      <c r="M99" s="250"/>
      <c r="N99" s="250"/>
      <c r="O99" s="250"/>
    </row>
    <row r="100" spans="3:15">
      <c r="C100" s="211" t="s">
        <v>137</v>
      </c>
      <c r="D100" s="239"/>
      <c r="E100" s="191" t="s">
        <v>138</v>
      </c>
      <c r="F100" s="192" t="s">
        <v>139</v>
      </c>
      <c r="M100" s="212"/>
      <c r="N100" s="251"/>
      <c r="O100" s="251"/>
    </row>
    <row r="101" spans="3:15">
      <c r="C101" s="199" t="s">
        <v>140</v>
      </c>
      <c r="D101" s="209"/>
      <c r="E101" s="382"/>
      <c r="F101" s="618">
        <f>E101*3.83%</f>
        <v>0</v>
      </c>
      <c r="M101" s="194"/>
      <c r="N101" s="772" t="s">
        <v>223</v>
      </c>
      <c r="O101" s="773"/>
    </row>
    <row r="102" spans="3:15">
      <c r="C102" s="619"/>
      <c r="D102" s="209"/>
      <c r="E102" s="382"/>
      <c r="F102" s="127"/>
      <c r="M102" s="194"/>
      <c r="N102" s="252">
        <f>IFERROR(RATE(360,F102,E102*-1,0,0,0.1)*12,0)</f>
        <v>0</v>
      </c>
      <c r="O102" s="253">
        <f>IF(PMT((N102+RepayCalculator!$B$7)/12,360,E102,0,0)&lt;(PMT(RepayCalculator!$B$8/12,360,E102,0,0)),(PMT((N102+RepayCalculator!$B$7)/12,360,E102,0,0)*-1)-F102,(PMT((RepayCalculator!$B$8)/12,360,E102,0,0)*-1)-F102)</f>
        <v>0</v>
      </c>
    </row>
    <row r="103" spans="3:15">
      <c r="C103" s="619"/>
      <c r="D103" s="209"/>
      <c r="E103" s="382"/>
      <c r="F103" s="127"/>
      <c r="M103" s="194"/>
      <c r="N103" s="252">
        <f t="shared" ref="N103:N112" si="9">IFERROR(RATE(360,F103,E103*-1,0,0,0.1)*12,0)</f>
        <v>0</v>
      </c>
      <c r="O103" s="253">
        <f>IF(PMT((N103+RepayCalculator!$B$7)/12,360,E103,0,0)&lt;(PMT(RepayCalculator!$B$8/12,360,E103,0,0)),(PMT((N103+RepayCalculator!$B$7)/12,360,E103,0,0)*-1)-F103,(PMT((RepayCalculator!$B$8)/12,360,E103,0,0)*-1)-F103)</f>
        <v>0</v>
      </c>
    </row>
    <row r="104" spans="3:15">
      <c r="C104" s="619"/>
      <c r="D104" s="209"/>
      <c r="E104" s="382"/>
      <c r="F104" s="383"/>
      <c r="M104" s="194"/>
      <c r="N104" s="252">
        <f t="shared" si="9"/>
        <v>0</v>
      </c>
      <c r="O104" s="253">
        <f>IF(PMT((N104+RepayCalculator!$B$7)/12,360,E104,0,0)&lt;(PMT(RepayCalculator!$B$8/12,360,E104,0,0)),(PMT((N104+RepayCalculator!$B$7)/12,360,E104,0,0)*-1)-F104,(PMT((RepayCalculator!$B$8)/12,360,E104,0,0)*-1)-F104)</f>
        <v>0</v>
      </c>
    </row>
    <row r="105" spans="3:15">
      <c r="C105" s="619"/>
      <c r="D105" s="209"/>
      <c r="E105" s="125"/>
      <c r="F105" s="128"/>
      <c r="M105" s="194"/>
      <c r="N105" s="252">
        <f t="shared" si="9"/>
        <v>0</v>
      </c>
      <c r="O105" s="253">
        <f>IF(PMT((N105+RepayCalculator!$B$7)/12,360,E105,0,0)&lt;(PMT(RepayCalculator!$B$8/12,360,E105,0,0)),(PMT((N105+RepayCalculator!$B$7)/12,360,E105,0,0)*-1)-F105,(PMT((RepayCalculator!$B$8)/12,360,E105,0,0)*-1)-F105)</f>
        <v>0</v>
      </c>
    </row>
    <row r="106" spans="3:15">
      <c r="C106" s="619"/>
      <c r="D106" s="209"/>
      <c r="E106" s="125"/>
      <c r="F106" s="128"/>
      <c r="M106" s="194"/>
      <c r="N106" s="252">
        <f t="shared" si="9"/>
        <v>0</v>
      </c>
      <c r="O106" s="253">
        <f>IF(PMT((N106+RepayCalculator!$B$7)/12,360,E106,0,0)&lt;(PMT(RepayCalculator!$B$8/12,360,E106,0,0)),(PMT((N106+RepayCalculator!$B$7)/12,360,E106,0,0)*-1)-F106,(PMT((RepayCalculator!$B$8)/12,360,E106,0,0)*-1)-F106)</f>
        <v>0</v>
      </c>
    </row>
    <row r="107" spans="3:15">
      <c r="C107" s="619"/>
      <c r="D107" s="209"/>
      <c r="E107" s="125"/>
      <c r="F107" s="129"/>
      <c r="M107" s="194"/>
      <c r="N107" s="252">
        <f t="shared" si="9"/>
        <v>0</v>
      </c>
      <c r="O107" s="253">
        <f>IF(PMT((N107+RepayCalculator!$B$7)/12,360,E107,0,0)&lt;(PMT(RepayCalculator!$B$8/12,360,E107,0,0)),(PMT((N107+RepayCalculator!$B$7)/12,360,E107,0,0)*-1)-F107,(PMT((RepayCalculator!$B$8)/12,360,E107,0,0)*-1)-F107)</f>
        <v>0</v>
      </c>
    </row>
    <row r="108" spans="3:15">
      <c r="C108" s="619"/>
      <c r="D108" s="209"/>
      <c r="E108" s="125"/>
      <c r="F108" s="130"/>
      <c r="M108" s="194"/>
      <c r="N108" s="252">
        <f t="shared" si="9"/>
        <v>0</v>
      </c>
      <c r="O108" s="253">
        <f>IF(PMT((N108+RepayCalculator!$B$7)/12,360,E108,0,0)&lt;(PMT(RepayCalculator!$B$8/12,360,E108,0,0)),(PMT((N108+RepayCalculator!$B$7)/12,360,E108,0,0)*-1)-F108,(PMT((RepayCalculator!$B$8)/12,360,E108,0,0)*-1)-F108)</f>
        <v>0</v>
      </c>
    </row>
    <row r="109" spans="3:15">
      <c r="C109" s="619"/>
      <c r="D109" s="209"/>
      <c r="E109" s="125"/>
      <c r="F109" s="130"/>
      <c r="M109" s="194"/>
      <c r="N109" s="252">
        <f t="shared" si="9"/>
        <v>0</v>
      </c>
      <c r="O109" s="253">
        <f>IF(PMT((N109+RepayCalculator!$B$7)/12,360,E109,0,0)&lt;(PMT(RepayCalculator!$B$8/12,360,E109,0,0)),(PMT((N109+RepayCalculator!$B$7)/12,360,E109,0,0)*-1)-F109,(PMT((RepayCalculator!$B$8)/12,360,E109,0,0)*-1)-F109)</f>
        <v>0</v>
      </c>
    </row>
    <row r="110" spans="3:15">
      <c r="C110" s="619"/>
      <c r="D110" s="209"/>
      <c r="E110" s="125"/>
      <c r="F110" s="130"/>
      <c r="M110" s="194"/>
      <c r="N110" s="252">
        <f t="shared" si="9"/>
        <v>0</v>
      </c>
      <c r="O110" s="253">
        <f>IF(PMT((N110+RepayCalculator!$B$7)/12,360,E110,0,0)&lt;(PMT(RepayCalculator!$B$8/12,360,E110,0,0)),(PMT((N110+RepayCalculator!$B$7)/12,360,E110,0,0)*-1)-F110,(PMT((RepayCalculator!$B$8)/12,360,E110,0,0)*-1)-F110)</f>
        <v>0</v>
      </c>
    </row>
    <row r="111" spans="3:15">
      <c r="C111" s="619"/>
      <c r="D111" s="209"/>
      <c r="E111" s="125"/>
      <c r="F111" s="130"/>
      <c r="M111" s="194"/>
      <c r="N111" s="252">
        <f t="shared" si="9"/>
        <v>0</v>
      </c>
      <c r="O111" s="253">
        <f>IF(PMT((N111+RepayCalculator!$B$7)/12,360,E111,0,0)&lt;(PMT(RepayCalculator!$B$8/12,360,E111,0,0)),(PMT((N111+RepayCalculator!$B$7)/12,360,E111,0,0)*-1)-F111,(PMT((RepayCalculator!$B$8)/12,360,E111,0,0)*-1)-F111)</f>
        <v>0</v>
      </c>
    </row>
    <row r="112" spans="3:15">
      <c r="C112" s="619"/>
      <c r="D112" s="209"/>
      <c r="E112" s="125"/>
      <c r="F112" s="130"/>
      <c r="M112" s="194"/>
      <c r="N112" s="252">
        <f t="shared" si="9"/>
        <v>0</v>
      </c>
      <c r="O112" s="253">
        <f>IF(PMT((N112+RepayCalculator!$B$7)/12,360,E112,0,0)&lt;(PMT(RepayCalculator!$B$8/12,360,E112,0,0)),(PMT((N112+RepayCalculator!$B$7)/12,360,E112,0,0)*-1)-F112,(PMT((RepayCalculator!$B$8)/12,360,E112,0,0)*-1)-F112)</f>
        <v>0</v>
      </c>
    </row>
    <row r="113" spans="3:15">
      <c r="C113" s="244"/>
      <c r="D113" s="209"/>
      <c r="E113" s="617">
        <f>SUM(E101:E112)</f>
        <v>0</v>
      </c>
      <c r="F113" s="617">
        <f>SUM(F101:F112)</f>
        <v>0</v>
      </c>
      <c r="M113" s="194"/>
      <c r="N113" s="254"/>
      <c r="O113" s="254"/>
    </row>
    <row r="114" spans="3:15">
      <c r="C114" s="244"/>
      <c r="E114" s="255" t="s">
        <v>943</v>
      </c>
      <c r="F114" s="617">
        <f>SUM(E102:E112)/12*2.25%</f>
        <v>0</v>
      </c>
      <c r="M114" s="194"/>
      <c r="N114" s="254"/>
    </row>
    <row r="115" spans="3:15">
      <c r="C115" s="244"/>
      <c r="D115" s="245"/>
      <c r="E115" s="220"/>
      <c r="F115" s="617">
        <f>SUM(F113:F114)</f>
        <v>0</v>
      </c>
      <c r="M115" s="246"/>
      <c r="N115" s="196"/>
      <c r="O115" s="196"/>
    </row>
    <row r="116" spans="3:15">
      <c r="C116" s="244"/>
      <c r="D116" s="245"/>
      <c r="E116" s="220"/>
      <c r="F116" s="221"/>
      <c r="M116" s="246"/>
      <c r="N116" s="196"/>
      <c r="O116" s="196"/>
    </row>
    <row r="117" spans="3:15">
      <c r="C117" s="190" t="s">
        <v>142</v>
      </c>
      <c r="D117" s="245"/>
      <c r="E117" s="220"/>
      <c r="F117" s="617">
        <f>F98-F115</f>
        <v>0</v>
      </c>
      <c r="M117" s="246"/>
      <c r="N117" s="196"/>
      <c r="O117" s="196"/>
    </row>
    <row r="118" spans="3:15">
      <c r="C118" s="190"/>
      <c r="D118" s="238"/>
      <c r="E118" s="256"/>
      <c r="F118" s="221"/>
      <c r="M118" s="188"/>
      <c r="N118" s="196"/>
      <c r="O118" s="196"/>
    </row>
    <row r="119" spans="3:15">
      <c r="C119" s="190"/>
      <c r="D119" s="238"/>
      <c r="E119" s="191"/>
      <c r="F119" s="257"/>
      <c r="M119" s="188"/>
      <c r="N119" s="189"/>
      <c r="O119" s="189"/>
    </row>
    <row r="120" spans="3:15" ht="15.75" thickBot="1">
      <c r="C120" s="190"/>
      <c r="D120" s="238"/>
      <c r="E120" s="191"/>
      <c r="F120" s="257"/>
      <c r="M120" s="188"/>
      <c r="N120" s="189"/>
      <c r="O120" s="189"/>
    </row>
    <row r="121" spans="3:15">
      <c r="C121" s="259" t="s">
        <v>143</v>
      </c>
      <c r="D121" s="260"/>
      <c r="E121" s="261"/>
      <c r="F121" s="722" t="e">
        <f>G37+F98-F115</f>
        <v>#NUM!</v>
      </c>
      <c r="M121" s="258"/>
      <c r="N121" s="237"/>
      <c r="O121" s="237"/>
    </row>
    <row r="122" spans="3:15">
      <c r="C122" s="398"/>
      <c r="D122" s="397"/>
      <c r="E122" s="770" t="s">
        <v>858</v>
      </c>
      <c r="F122" s="771"/>
      <c r="G122" s="620" t="e">
        <f>(D23+G23+D29+G29+D7+SUM(E101:E112))/(SUM(D12:D14)+E88)</f>
        <v>#DIV/0!</v>
      </c>
      <c r="M122" s="258"/>
      <c r="N122" s="237"/>
      <c r="O122" s="237"/>
    </row>
  </sheetData>
  <sheetProtection algorithmName="SHA-512" hashValue="yyL1cZdGJoz/qWSauRKpSHWYAwzUb4ci5X8ntPV80cwoxm3jvxIu9Qen6gCPmirjh7p/dTLZTYAuoX+jouWzlg==" saltValue="8Xf47GrXKMJEQVzZ+3+FvA==" spinCount="100000" sheet="1" objects="1" scenarios="1"/>
  <mergeCells count="29">
    <mergeCell ref="E44:F44"/>
    <mergeCell ref="E11:G11"/>
    <mergeCell ref="E13:F13"/>
    <mergeCell ref="E15:F15"/>
    <mergeCell ref="E16:F16"/>
    <mergeCell ref="E17:F17"/>
    <mergeCell ref="E30:F30"/>
    <mergeCell ref="E31:F31"/>
    <mergeCell ref="E21:G21"/>
    <mergeCell ref="E22:F22"/>
    <mergeCell ref="E23:F23"/>
    <mergeCell ref="E24:F24"/>
    <mergeCell ref="E25:F25"/>
    <mergeCell ref="E122:F122"/>
    <mergeCell ref="N101:O101"/>
    <mergeCell ref="F4:G4"/>
    <mergeCell ref="E39:F39"/>
    <mergeCell ref="E34:F34"/>
    <mergeCell ref="E37:F37"/>
    <mergeCell ref="E12:F12"/>
    <mergeCell ref="D6:G6"/>
    <mergeCell ref="E7:F7"/>
    <mergeCell ref="E8:F8"/>
    <mergeCell ref="E9:F9"/>
    <mergeCell ref="E14:F14"/>
    <mergeCell ref="E29:F29"/>
    <mergeCell ref="E27:G27"/>
    <mergeCell ref="E28:F28"/>
    <mergeCell ref="E43:F43"/>
  </mergeCells>
  <phoneticPr fontId="26" type="noConversion"/>
  <conditionalFormatting sqref="D6:G6">
    <cfRule type="containsText" dxfId="76" priority="126" operator="containsText" text="Enter Name here">
      <formula>NOT(ISERROR(SEARCH("Enter Name here",D6)))</formula>
    </cfRule>
  </conditionalFormatting>
  <conditionalFormatting sqref="G37">
    <cfRule type="cellIs" dxfId="75" priority="119" operator="greaterThan">
      <formula>41.67</formula>
    </cfRule>
    <cfRule type="cellIs" dxfId="74" priority="121" operator="lessThan">
      <formula>41.67</formula>
    </cfRule>
  </conditionalFormatting>
  <conditionalFormatting sqref="D9">
    <cfRule type="cellIs" dxfId="73" priority="116" operator="greaterThan">
      <formula>0.8</formula>
    </cfRule>
  </conditionalFormatting>
  <conditionalFormatting sqref="G39">
    <cfRule type="containsText" dxfId="72" priority="18" operator="containsText" text="Pass">
      <formula>NOT(ISERROR(SEARCH("Pass",G39)))</formula>
    </cfRule>
    <cfRule type="containsText" dxfId="71" priority="114" operator="containsText" text="Pass">
      <formula>NOT(ISERROR(SEARCH("Pass",G39)))</formula>
    </cfRule>
    <cfRule type="containsText" dxfId="70" priority="115" operator="containsText" text="Fail">
      <formula>NOT(ISERROR(SEARCH("Fail",G39)))</formula>
    </cfRule>
  </conditionalFormatting>
  <conditionalFormatting sqref="N113:O113 N114 N49:O55 F118 F97:F100 F64:F66 N63:O66 F73:F74 F86:F91 F83 D83:D85 C115:E118 N115:O118 D101:D113 E114 D49:E65 N56:N62 N73:O83 D73:E82 D66:D72 D86:E100 N86:O100 M49:M118 C49:C100">
    <cfRule type="expression" dxfId="69" priority="72" stopIfTrue="1">
      <formula>#REF!&gt;0</formula>
    </cfRule>
    <cfRule type="expression" dxfId="68" priority="73" stopIfTrue="1">
      <formula>#REF!&lt;0</formula>
    </cfRule>
  </conditionalFormatting>
  <conditionalFormatting sqref="E84:E85">
    <cfRule type="expression" dxfId="67" priority="127" stopIfTrue="1">
      <formula>#REF!&gt;0</formula>
    </cfRule>
    <cfRule type="expression" dxfId="66" priority="127" stopIfTrue="1">
      <formula>#REF!&lt;0</formula>
    </cfRule>
  </conditionalFormatting>
  <conditionalFormatting sqref="N101 N84:O85 E67:E72 F105:F112 F92:F95">
    <cfRule type="expression" dxfId="65" priority="88" stopIfTrue="1">
      <formula>#REF!&gt;0</formula>
    </cfRule>
    <cfRule type="expression" dxfId="64" priority="89" stopIfTrue="1">
      <formula>#REF!&lt;0</formula>
    </cfRule>
  </conditionalFormatting>
  <conditionalFormatting sqref="F49:F63">
    <cfRule type="expression" dxfId="63" priority="86" stopIfTrue="1">
      <formula>#REF!&gt;0</formula>
    </cfRule>
    <cfRule type="expression" dxfId="62" priority="87" stopIfTrue="1">
      <formula>#REF!&lt;0</formula>
    </cfRule>
  </conditionalFormatting>
  <conditionalFormatting sqref="F116">
    <cfRule type="expression" dxfId="61" priority="82" stopIfTrue="1">
      <formula>#REF!&gt;0</formula>
    </cfRule>
    <cfRule type="expression" dxfId="60" priority="83" stopIfTrue="1">
      <formula>#REF!&lt;0</formula>
    </cfRule>
  </conditionalFormatting>
  <conditionalFormatting sqref="C101:C112">
    <cfRule type="expression" dxfId="59" priority="80" stopIfTrue="1">
      <formula>#REF!&gt;0</formula>
    </cfRule>
    <cfRule type="expression" dxfId="58" priority="81" stopIfTrue="1">
      <formula>#REF!&lt;0</formula>
    </cfRule>
  </conditionalFormatting>
  <conditionalFormatting sqref="E105:E112">
    <cfRule type="expression" dxfId="57" priority="78" stopIfTrue="1">
      <formula>#REF!&gt;0</formula>
    </cfRule>
    <cfRule type="expression" dxfId="56" priority="79" stopIfTrue="1">
      <formula>#REF!&lt;0</formula>
    </cfRule>
  </conditionalFormatting>
  <conditionalFormatting sqref="E66">
    <cfRule type="expression" dxfId="55" priority="74" stopIfTrue="1">
      <formula>#REF!&gt;0</formula>
    </cfRule>
    <cfRule type="expression" dxfId="54" priority="75" stopIfTrue="1">
      <formula>#REF!&lt;0</formula>
    </cfRule>
  </conditionalFormatting>
  <conditionalFormatting sqref="E114">
    <cfRule type="expression" dxfId="53" priority="70" stopIfTrue="1">
      <formula>#REF!&gt;0</formula>
    </cfRule>
    <cfRule type="expression" dxfId="52" priority="71" stopIfTrue="1">
      <formula>#REF!&lt;0</formula>
    </cfRule>
  </conditionalFormatting>
  <conditionalFormatting sqref="D19 D13 D16">
    <cfRule type="containsBlanks" dxfId="51" priority="128">
      <formula>LEN(TRIM(D13))=0</formula>
    </cfRule>
  </conditionalFormatting>
  <conditionalFormatting sqref="D29:D31">
    <cfRule type="containsBlanks" dxfId="50" priority="58">
      <formula>LEN(TRIM(D29))=0</formula>
    </cfRule>
  </conditionalFormatting>
  <conditionalFormatting sqref="G23:G25">
    <cfRule type="containsBlanks" dxfId="49" priority="59">
      <formula>LEN(TRIM(G23))=0</formula>
    </cfRule>
  </conditionalFormatting>
  <conditionalFormatting sqref="G22">
    <cfRule type="containsBlanks" dxfId="48" priority="55">
      <formula>LEN(TRIM(G22))=0</formula>
    </cfRule>
  </conditionalFormatting>
  <conditionalFormatting sqref="G28">
    <cfRule type="containsBlanks" dxfId="47" priority="51">
      <formula>LEN(TRIM(G28))=0</formula>
    </cfRule>
  </conditionalFormatting>
  <conditionalFormatting sqref="D28">
    <cfRule type="containsBlanks" dxfId="46" priority="54">
      <formula>LEN(TRIM(D28))=0</formula>
    </cfRule>
  </conditionalFormatting>
  <conditionalFormatting sqref="G29:G31">
    <cfRule type="containsBlanks" dxfId="45" priority="52">
      <formula>LEN(TRIM(G29))=0</formula>
    </cfRule>
  </conditionalFormatting>
  <conditionalFormatting sqref="G19">
    <cfRule type="containsBlanks" dxfId="44" priority="46">
      <formula>LEN(TRIM(G19))=0</formula>
    </cfRule>
  </conditionalFormatting>
  <conditionalFormatting sqref="G17">
    <cfRule type="cellIs" dxfId="43" priority="36" operator="greaterThan">
      <formula>0</formula>
    </cfRule>
    <cfRule type="cellIs" dxfId="42" priority="37" operator="lessThanOrEqual">
      <formula>0</formula>
    </cfRule>
  </conditionalFormatting>
  <conditionalFormatting sqref="E21:G25">
    <cfRule type="expression" dxfId="41" priority="35">
      <formula>$G$19&lt;2</formula>
    </cfRule>
  </conditionalFormatting>
  <conditionalFormatting sqref="G22:G25">
    <cfRule type="expression" dxfId="40" priority="34">
      <formula>$G$19&lt;2</formula>
    </cfRule>
  </conditionalFormatting>
  <conditionalFormatting sqref="C113">
    <cfRule type="expression" dxfId="39" priority="32" stopIfTrue="1">
      <formula>#REF!&gt;0</formula>
    </cfRule>
    <cfRule type="expression" dxfId="38" priority="33" stopIfTrue="1">
      <formula>#REF!&lt;0</formula>
    </cfRule>
  </conditionalFormatting>
  <conditionalFormatting sqref="C114">
    <cfRule type="expression" dxfId="37" priority="30" stopIfTrue="1">
      <formula>#REF!&gt;0</formula>
    </cfRule>
    <cfRule type="expression" dxfId="36" priority="31" stopIfTrue="1">
      <formula>#REF!&lt;0</formula>
    </cfRule>
  </conditionalFormatting>
  <conditionalFormatting sqref="G13 G16">
    <cfRule type="containsBlanks" dxfId="35" priority="28">
      <formula>LEN(TRIM(G13))=0</formula>
    </cfRule>
  </conditionalFormatting>
  <conditionalFormatting sqref="E101:E104">
    <cfRule type="expression" dxfId="34" priority="26" stopIfTrue="1">
      <formula>#REF!&gt;0</formula>
    </cfRule>
    <cfRule type="expression" dxfId="33" priority="27" stopIfTrue="1">
      <formula>#REF!&lt;0</formula>
    </cfRule>
  </conditionalFormatting>
  <conditionalFormatting sqref="F102:F104">
    <cfRule type="expression" dxfId="32" priority="24" stopIfTrue="1">
      <formula>#REF!&gt;0</formula>
    </cfRule>
    <cfRule type="expression" dxfId="31" priority="25" stopIfTrue="1">
      <formula>#REF!&lt;0</formula>
    </cfRule>
  </conditionalFormatting>
  <conditionalFormatting sqref="G34">
    <cfRule type="cellIs" dxfId="30" priority="19" operator="lessThan">
      <formula>1</formula>
    </cfRule>
    <cfRule type="cellIs" dxfId="29" priority="20" operator="greaterThan">
      <formula>1</formula>
    </cfRule>
  </conditionalFormatting>
  <conditionalFormatting sqref="G7:G8">
    <cfRule type="containsBlanks" dxfId="28" priority="16">
      <formula>LEN(TRIM(G7))=0</formula>
    </cfRule>
  </conditionalFormatting>
  <conditionalFormatting sqref="D12">
    <cfRule type="containsBlanks" dxfId="27" priority="15">
      <formula>LEN(TRIM(D12))=0</formula>
    </cfRule>
  </conditionalFormatting>
  <conditionalFormatting sqref="D14:D15">
    <cfRule type="containsBlanks" dxfId="26" priority="14">
      <formula>LEN(TRIM(D14))=0</formula>
    </cfRule>
  </conditionalFormatting>
  <conditionalFormatting sqref="D17">
    <cfRule type="containsBlanks" dxfId="25" priority="13">
      <formula>LEN(TRIM(D17))=0</formula>
    </cfRule>
  </conditionalFormatting>
  <conditionalFormatting sqref="D23:D25">
    <cfRule type="containsBlanks" dxfId="24" priority="12">
      <formula>LEN(TRIM(D23))=0</formula>
    </cfRule>
  </conditionalFormatting>
  <conditionalFormatting sqref="D22">
    <cfRule type="containsBlanks" dxfId="23" priority="11">
      <formula>LEN(TRIM(D22))=0</formula>
    </cfRule>
  </conditionalFormatting>
  <conditionalFormatting sqref="G12">
    <cfRule type="containsBlanks" dxfId="22" priority="10">
      <formula>LEN(TRIM(G12))=0</formula>
    </cfRule>
  </conditionalFormatting>
  <conditionalFormatting sqref="G14:G15">
    <cfRule type="containsBlanks" dxfId="21" priority="9">
      <formula>LEN(TRIM(G14))=0</formula>
    </cfRule>
  </conditionalFormatting>
  <conditionalFormatting sqref="G44">
    <cfRule type="cellIs" dxfId="20" priority="7" operator="greaterThanOrEqual">
      <formula>0</formula>
    </cfRule>
    <cfRule type="cellIs" dxfId="19" priority="8" operator="lessThan">
      <formula>0</formula>
    </cfRule>
  </conditionalFormatting>
  <conditionalFormatting sqref="G43">
    <cfRule type="containsText" dxfId="18" priority="5" operator="containsText" text="Pass">
      <formula>NOT(ISERROR(SEARCH("Pass",G43)))</formula>
    </cfRule>
    <cfRule type="containsText" dxfId="17" priority="6" operator="containsText" text="Fail">
      <formula>NOT(ISERROR(SEARCH("Fail",G43)))</formula>
    </cfRule>
  </conditionalFormatting>
  <conditionalFormatting sqref="D7:D8">
    <cfRule type="containsBlanks" dxfId="16" priority="1">
      <formula>LEN(TRIM(D7))=0</formula>
    </cfRule>
  </conditionalFormatting>
  <dataValidations xWindow="445" yWindow="596" count="10">
    <dataValidation type="whole" operator="greaterThanOrEqual" allowBlank="1" showInputMessage="1" showErrorMessage="1" errorTitle="Annual Fund Expenses" error="Please input minimum of $2000 or actual costs whichever is the greater" promptTitle="Annual Fund Expenses" prompt="Please input minimum of $2000 or actual costs whichever is the greater" sqref="E26 D19 G18 G20" xr:uid="{78A5F0D2-B3A7-49F2-8EE1-624F9BDCAEF1}">
      <formula1>2000</formula1>
    </dataValidation>
    <dataValidation type="whole" allowBlank="1" showInputMessage="1" showErrorMessage="1" promptTitle="Loan term" prompt="Please input a term between 1 - 30 years" sqref="G7" xr:uid="{C702CE7C-9E9A-463F-AD36-1AAE8615B2B9}">
      <formula1>1</formula1>
      <formula2>30</formula2>
    </dataValidation>
    <dataValidation type="whole" operator="greaterThanOrEqual" allowBlank="1" showInputMessage="1" showErrorMessage="1" promptTitle="Monthly Repayments" prompt="Input any other Debt obligations by the SMSF" sqref="D31 G31 G25 D25" xr:uid="{68BFF88D-12E3-4136-9F2F-451698596695}">
      <formula1>0</formula1>
    </dataValidation>
    <dataValidation type="whole" operator="greaterThanOrEqual" allowBlank="1" showInputMessage="1" showErrorMessage="1" promptTitle="Proposed or Existing Rental" prompt="Input total annual rental income for the SMSF" sqref="D32 D19:D20 D14" xr:uid="{D18FD034-9EEB-43D8-8602-D35FE388CC9B}">
      <formula1>0</formula1>
    </dataValidation>
    <dataValidation allowBlank="1" showInputMessage="1" showErrorMessage="1" promptTitle="Interest Addback" prompt="If known input the existing rate for SMSF Loans. Otherwise deemed rate will apply." sqref="D30 G30 G24 D24" xr:uid="{2BB8537C-27BB-459A-A695-8B9D6B741BB6}"/>
    <dataValidation type="whole" operator="greaterThanOrEqual" allowBlank="1" showInputMessage="1" showErrorMessage="1" promptTitle="Existing SMSF Mortgage Balances" prompt="Input any residential SMSF loan balances_x000a_" sqref="D28:D29 G28:G29 G22:G23 D22:D23" xr:uid="{1DE99A4A-B4C0-4176-934F-E0369B46F27B}">
      <formula1>0</formula1>
    </dataValidation>
    <dataValidation allowBlank="1" showInputMessage="1" sqref="G34" xr:uid="{E53ECF65-0100-4E44-95F7-823BC4150750}"/>
    <dataValidation allowBlank="1" showInputMessage="1" showErrorMessage="1" promptTitle="Additional Contributions" prompt="Any additional non concessional contributions must exclude tax before input." sqref="D13" xr:uid="{727C4697-D5EC-488E-BA59-FAF5B7FA4185}"/>
    <dataValidation type="list" allowBlank="1" showInputMessage="1" showErrorMessage="1" sqref="G19" xr:uid="{2DA17A56-11CD-4A1F-866B-1F478594FB46}">
      <formula1>"0,1,2,3,4,5"</formula1>
    </dataValidation>
    <dataValidation type="decimal" allowBlank="1" showInputMessage="1" showErrorMessage="1" errorTitle="Input figure" error="Input total mandatory contributions up to concessional caps for each individual." promptTitle="Concessional Super contributions" prompt="Input total contributions up to $30,000 for each individual." sqref="D12" xr:uid="{4CE9B5DC-7AEF-4A32-8AAE-933D095FDCFB}">
      <formula1>0</formula1>
      <formula2>180000</formula2>
    </dataValidation>
  </dataValidations>
  <pageMargins left="0.7" right="0.7" top="0.75" bottom="0.75" header="0.3" footer="0.3"/>
  <pageSetup paperSize="9" scale="56" fitToHeight="0" orientation="portrait" cellComments="atEnd" horizontalDpi="1200" verticalDpi="1200" r:id="rId1"/>
  <drawing r:id="rId2"/>
  <legacyDrawing r:id="rId3"/>
  <controls>
    <mc:AlternateContent xmlns:mc="http://schemas.openxmlformats.org/markup-compatibility/2006">
      <mc:Choice Requires="x14">
        <control shapeId="1038" r:id="rId4" name="ToggleButton1">
          <controlPr defaultSize="0" autoLine="0" r:id="rId5">
            <anchor moveWithCells="1">
              <from>
                <xdr:col>7</xdr:col>
                <xdr:colOff>533400</xdr:colOff>
                <xdr:row>38</xdr:row>
                <xdr:rowOff>0</xdr:rowOff>
              </from>
              <to>
                <xdr:col>9</xdr:col>
                <xdr:colOff>285750</xdr:colOff>
                <xdr:row>44</xdr:row>
                <xdr:rowOff>171450</xdr:rowOff>
              </to>
            </anchor>
          </controlPr>
        </control>
      </mc:Choice>
      <mc:Fallback>
        <control shapeId="1038" r:id="rId4" name="ToggleButton1"/>
      </mc:Fallback>
    </mc:AlternateContent>
    <mc:AlternateContent xmlns:mc="http://schemas.openxmlformats.org/markup-compatibility/2006">
      <mc:Choice Requires="x14">
        <control shapeId="1034" r:id="rId6" name="Button 10">
          <controlPr locked="0" defaultSize="0" print="0" autoFill="0" autoPict="0" macro="[0]!Sheet1.ClearUnlockedCells">
            <anchor moveWithCells="1">
              <from>
                <xdr:col>5</xdr:col>
                <xdr:colOff>885825</xdr:colOff>
                <xdr:row>0</xdr:row>
                <xdr:rowOff>66675</xdr:rowOff>
              </from>
              <to>
                <xdr:col>6</xdr:col>
                <xdr:colOff>1028700</xdr:colOff>
                <xdr:row>1</xdr:row>
                <xdr:rowOff>123825</xdr:rowOff>
              </to>
            </anchor>
          </controlPr>
        </control>
      </mc:Choice>
    </mc:AlternateContent>
    <mc:AlternateContent xmlns:mc="http://schemas.openxmlformats.org/markup-compatibility/2006">
      <mc:Choice Requires="x14">
        <control shapeId="1036" r:id="rId7" name="Button 12">
          <controlPr locked="0" defaultSize="0" print="0" autoFill="0" autoPict="0" macro="[0]!Macro5">
            <anchor moveWithCells="1">
              <from>
                <xdr:col>5</xdr:col>
                <xdr:colOff>885825</xdr:colOff>
                <xdr:row>1</xdr:row>
                <xdr:rowOff>171450</xdr:rowOff>
              </from>
              <to>
                <xdr:col>6</xdr:col>
                <xdr:colOff>1028700</xdr:colOff>
                <xdr:row>2</xdr:row>
                <xdr:rowOff>228600</xdr:rowOff>
              </to>
            </anchor>
          </controlPr>
        </control>
      </mc:Choice>
    </mc:AlternateContent>
  </controls>
  <extLst>
    <ext xmlns:x14="http://schemas.microsoft.com/office/spreadsheetml/2009/9/main" uri="{CCE6A557-97BC-4b89-ADB6-D9C93CAAB3DF}">
      <x14:dataValidations xmlns:xm="http://schemas.microsoft.com/office/excel/2006/main" xWindow="445" yWindow="596" count="6">
        <x14:dataValidation type="list" allowBlank="1" showInputMessage="1" showErrorMessage="1" xr:uid="{D7343F4F-AA61-4CF6-ADA8-8F7939303371}">
          <x14:formula1>
            <xm:f>RepayCalculator!$C$12:$C$20</xm:f>
          </x14:formula1>
          <xm:sqref>C102:C112</xm:sqref>
        </x14:dataValidation>
        <x14:dataValidation type="list" allowBlank="1" showInputMessage="1" showErrorMessage="1" xr:uid="{06FFAF97-8161-463C-AA33-498F73F430E2}">
          <x14:formula1>
            <xm:f>RepayCalculator!$F$12:$F$15</xm:f>
          </x14:formula1>
          <xm:sqref>D50:D54</xm:sqref>
        </x14:dataValidation>
        <x14:dataValidation type="list" allowBlank="1" showInputMessage="1" showErrorMessage="1" xr:uid="{D16A793F-0F3F-464A-852E-D7398D13A7CA}">
          <x14:formula1>
            <xm:f>RepayCalculator!$E$12:$E$13</xm:f>
          </x14:formula1>
          <xm:sqref>E49:E54</xm:sqref>
        </x14:dataValidation>
        <x14:dataValidation type="list" allowBlank="1" showInputMessage="1" showErrorMessage="1" xr:uid="{D0AF857C-46BA-47A3-BBBE-54E7D93ECD6C}">
          <x14:formula1>
            <xm:f>RepayCalculator!$G$13:$G$16</xm:f>
          </x14:formula1>
          <xm:sqref>L17</xm:sqref>
        </x14:dataValidation>
        <x14:dataValidation type="list" allowBlank="1" showInputMessage="1" showErrorMessage="1" xr:uid="{D7B9439E-2A5E-4A4C-B16D-6EC874A37BB0}">
          <x14:formula1>
            <xm:f>RepayCalculator!$G$12:$G$22</xm:f>
          </x14:formula1>
          <xm:sqref>F49:F54</xm:sqref>
        </x14:dataValidation>
        <x14:dataValidation type="list" allowBlank="1" showInputMessage="1" showErrorMessage="1" xr:uid="{CD9ECDDE-E31F-401C-9F95-D5C3B7EFC882}">
          <x14:formula1>
            <xm:f>RepayCalculator!$F$12:$F$17</xm:f>
          </x14:formula1>
          <xm:sqref>D49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D177E-789F-4E00-B423-145C4D861F33}">
  <sheetPr codeName="Sheet2"/>
  <dimension ref="B2:F30"/>
  <sheetViews>
    <sheetView workbookViewId="0">
      <selection activeCell="H25" sqref="H25"/>
    </sheetView>
  </sheetViews>
  <sheetFormatPr defaultColWidth="8.7109375" defaultRowHeight="15"/>
  <cols>
    <col min="1" max="1" width="8.7109375" style="19"/>
    <col min="2" max="2" width="41.140625" style="19" bestFit="1" customWidth="1"/>
    <col min="3" max="3" width="14.85546875" style="19" customWidth="1"/>
    <col min="4" max="4" width="8.7109375" style="19"/>
    <col min="5" max="5" width="10.28515625" style="19" bestFit="1" customWidth="1"/>
    <col min="6" max="6" width="10.140625" style="19" customWidth="1"/>
    <col min="7" max="16384" width="8.7109375" style="19"/>
  </cols>
  <sheetData>
    <row r="2" spans="2:6">
      <c r="C2" s="20" t="s">
        <v>28</v>
      </c>
      <c r="D2" s="20" t="s">
        <v>33</v>
      </c>
      <c r="E2" s="20" t="s">
        <v>44</v>
      </c>
    </row>
    <row r="3" spans="2:6">
      <c r="B3" s="2" t="s">
        <v>9</v>
      </c>
      <c r="C3" s="21">
        <f>SUM('SMSF Servicing Calculator'!D12*E3)</f>
        <v>0</v>
      </c>
      <c r="D3" s="9">
        <f>C3/12</f>
        <v>0</v>
      </c>
      <c r="E3" s="37">
        <v>1</v>
      </c>
    </row>
    <row r="4" spans="2:6">
      <c r="B4" s="2" t="s">
        <v>21</v>
      </c>
      <c r="C4" s="22">
        <f>SUM('SMSF Servicing Calculator'!D17*E4)</f>
        <v>0</v>
      </c>
      <c r="D4" s="9">
        <f>C4/12</f>
        <v>0</v>
      </c>
      <c r="E4" s="539">
        <v>0.8</v>
      </c>
    </row>
    <row r="5" spans="2:6">
      <c r="B5" s="2" t="s">
        <v>12</v>
      </c>
      <c r="C5" s="22">
        <f>SUM('SMSF Servicing Calculator'!D14*E5)</f>
        <v>0</v>
      </c>
      <c r="D5" s="9">
        <f>C5/12</f>
        <v>0</v>
      </c>
      <c r="E5" s="37">
        <v>0.8</v>
      </c>
    </row>
    <row r="6" spans="2:6">
      <c r="B6" s="5" t="s">
        <v>22</v>
      </c>
      <c r="C6" s="23">
        <f>SUM(C3:C5)</f>
        <v>0</v>
      </c>
      <c r="D6" s="7">
        <f>C6/12</f>
        <v>0</v>
      </c>
      <c r="E6" s="24"/>
    </row>
    <row r="7" spans="2:6">
      <c r="B7" s="8" t="s">
        <v>253</v>
      </c>
      <c r="C7" s="4">
        <f>('SMSF Servicing Calculator'!D23*D7)+C18</f>
        <v>0</v>
      </c>
      <c r="D7" s="25">
        <f>IF('SMSF Servicing Calculator'!D24&lt;E7,E7,'SMSF Servicing Calculator'!D24)</f>
        <v>0.03</v>
      </c>
      <c r="E7" s="539">
        <v>0.03</v>
      </c>
      <c r="F7" s="26" t="s">
        <v>35</v>
      </c>
    </row>
    <row r="8" spans="2:6">
      <c r="B8" s="8" t="s">
        <v>255</v>
      </c>
      <c r="C8" s="4">
        <f>('SMSF Servicing Calculator'!G23*D8)</f>
        <v>0</v>
      </c>
      <c r="D8" s="25">
        <f>IF('SMSF Servicing Calculator'!G24&lt;E8,E8,'SMSF Servicing Calculator'!G24)</f>
        <v>0.03</v>
      </c>
      <c r="E8" s="539">
        <v>0.03</v>
      </c>
      <c r="F8" s="26"/>
    </row>
    <row r="9" spans="2:6">
      <c r="B9" s="8" t="s">
        <v>254</v>
      </c>
      <c r="C9" s="4">
        <f>('SMSF Servicing Calculator'!D29*D9)</f>
        <v>0</v>
      </c>
      <c r="D9" s="25">
        <f>IF('SMSF Servicing Calculator'!D30&lt;E9,E9,'SMSF Servicing Calculator'!D30)</f>
        <v>0.03</v>
      </c>
      <c r="E9" s="539">
        <v>0.03</v>
      </c>
      <c r="F9" s="26"/>
    </row>
    <row r="10" spans="2:6">
      <c r="B10" s="8" t="s">
        <v>256</v>
      </c>
      <c r="C10" s="4">
        <f>('SMSF Servicing Calculator'!G29*D10)</f>
        <v>0</v>
      </c>
      <c r="D10" s="25">
        <f>IF('SMSF Servicing Calculator'!G30&lt;E10,E10,'SMSF Servicing Calculator'!G30)</f>
        <v>0.03</v>
      </c>
      <c r="E10" s="539">
        <v>0.03</v>
      </c>
      <c r="F10" s="26"/>
    </row>
    <row r="11" spans="2:6">
      <c r="B11" s="8" t="s">
        <v>49</v>
      </c>
      <c r="C11" s="22">
        <f>'SMSF Servicing Calculator'!D7*'SMSF Servicing Calculator'!G8</f>
        <v>0</v>
      </c>
      <c r="D11" s="10"/>
      <c r="E11" s="540"/>
    </row>
    <row r="12" spans="2:6">
      <c r="B12" s="8" t="s">
        <v>23</v>
      </c>
      <c r="C12" s="22">
        <f>IF('SMSF Servicing Calculator'!D19&lt;2000,2000,'SMSF Servicing Calculator'!D19)</f>
        <v>2000</v>
      </c>
      <c r="D12" s="11"/>
      <c r="E12" s="27"/>
    </row>
    <row r="13" spans="2:6">
      <c r="B13" s="5" t="s">
        <v>24</v>
      </c>
      <c r="C13" s="23">
        <f>IF(SUM(C6-C7-C8-C9-C10-C11-C12)&lt;0,0,SUM(C6-C7-C8-C9-C10-C11-C12))</f>
        <v>0</v>
      </c>
      <c r="D13" s="6"/>
      <c r="E13" s="28"/>
    </row>
    <row r="14" spans="2:6">
      <c r="B14" s="8" t="s">
        <v>25</v>
      </c>
      <c r="C14" s="22">
        <f>IF(C13&gt;0,C13*E14,0)</f>
        <v>0</v>
      </c>
      <c r="D14" s="4"/>
      <c r="E14" s="37">
        <v>0.15</v>
      </c>
      <c r="F14" s="26" t="s">
        <v>40</v>
      </c>
    </row>
    <row r="15" spans="2:6">
      <c r="B15" s="5" t="s">
        <v>18</v>
      </c>
      <c r="C15" s="7">
        <f>SUM(C6-C14)</f>
        <v>0</v>
      </c>
      <c r="D15" s="29">
        <f>C15/12</f>
        <v>0</v>
      </c>
      <c r="E15" s="30"/>
    </row>
    <row r="16" spans="2:6">
      <c r="B16" s="8" t="s">
        <v>36</v>
      </c>
      <c r="C16" s="21">
        <f>(('SMSF Servicing Calculator'!D25+'SMSF Servicing Calculator'!G25+'SMSF Servicing Calculator'!D31+'SMSF Servicing Calculator'!G31)*12)</f>
        <v>0</v>
      </c>
      <c r="D16" s="21">
        <f>C16/12</f>
        <v>0</v>
      </c>
      <c r="E16" s="541"/>
    </row>
    <row r="17" spans="2:6">
      <c r="B17" s="8" t="s">
        <v>26</v>
      </c>
      <c r="C17" s="21">
        <f>IF('SMSF Servicing Calculator'!D19&lt;2000,2000,'SMSF Servicing Calculator'!D19)</f>
        <v>2000</v>
      </c>
      <c r="D17" s="21">
        <f>C17/12</f>
        <v>166.66666666666666</v>
      </c>
      <c r="E17" s="31"/>
    </row>
    <row r="18" spans="2:6">
      <c r="B18" s="8" t="s">
        <v>51</v>
      </c>
      <c r="C18" s="21">
        <f>('SMSF Servicing Calculator'!D23+'SMSF Servicing Calculator'!G23+'SMSF Servicing Calculator'!D29+'SMSF Servicing Calculator'!G29)*E18</f>
        <v>0</v>
      </c>
      <c r="D18" s="21">
        <f>C18/12</f>
        <v>0</v>
      </c>
      <c r="E18" s="542">
        <v>0</v>
      </c>
      <c r="F18" s="26" t="s">
        <v>53</v>
      </c>
    </row>
    <row r="19" spans="2:6">
      <c r="B19" s="8" t="s">
        <v>52</v>
      </c>
      <c r="C19" s="21">
        <f>D19*12</f>
        <v>0</v>
      </c>
      <c r="D19" s="21">
        <f>('SMSF Servicing Calculator'!D25+'SMSF Servicing Calculator'!G25+'SMSF Servicing Calculator'!D31+'SMSF Servicing Calculator'!G31)*'Calculations breakdown'!E19</f>
        <v>0</v>
      </c>
      <c r="E19" s="542">
        <v>0.2</v>
      </c>
      <c r="F19" s="26" t="s">
        <v>54</v>
      </c>
    </row>
    <row r="20" spans="2:6">
      <c r="B20" s="538" t="s">
        <v>10</v>
      </c>
      <c r="C20" s="22">
        <f>SUM('SMSF Servicing Calculator'!D13*E20)</f>
        <v>0</v>
      </c>
      <c r="D20" s="9">
        <f>C20/12</f>
        <v>0</v>
      </c>
      <c r="E20" s="539">
        <v>1</v>
      </c>
    </row>
    <row r="21" spans="2:6">
      <c r="B21" s="5" t="s">
        <v>32</v>
      </c>
      <c r="C21" s="7">
        <f>SUM(C15-C16-C17-C18-C19)+C20</f>
        <v>-2000</v>
      </c>
      <c r="D21" s="7">
        <f>C21/12</f>
        <v>-166.66666666666666</v>
      </c>
      <c r="E21" s="32"/>
    </row>
    <row r="22" spans="2:6">
      <c r="B22" s="3" t="s">
        <v>55</v>
      </c>
      <c r="C22" s="21" t="e">
        <f>D22*12</f>
        <v>#NUM!</v>
      </c>
      <c r="D22" s="21" t="e">
        <f>PMT('SMSF Servicing Calculator'!G8/12,'SMSF Servicing Calculator'!G7*12,-'SMSF Servicing Calculator'!D7)</f>
        <v>#NUM!</v>
      </c>
      <c r="E22" s="33"/>
      <c r="F22" s="26" t="s">
        <v>57</v>
      </c>
    </row>
    <row r="23" spans="2:6">
      <c r="B23" s="3" t="s">
        <v>56</v>
      </c>
      <c r="C23" s="21" t="e">
        <f>(D23*12)</f>
        <v>#NUM!</v>
      </c>
      <c r="D23" s="21" t="e">
        <f>PMT('SMSF Servicing Calculator'!G9/12,'SMSF Servicing Calculator'!G7*12,-'SMSF Servicing Calculator'!D7)</f>
        <v>#NUM!</v>
      </c>
      <c r="E23" s="33"/>
    </row>
    <row r="24" spans="2:6">
      <c r="B24" s="1"/>
      <c r="C24" s="34"/>
      <c r="D24" s="34"/>
      <c r="E24" s="16"/>
    </row>
    <row r="25" spans="2:6">
      <c r="B25" s="3" t="s">
        <v>46</v>
      </c>
      <c r="C25" s="12" t="e">
        <f>'SMSF Servicing Calculator'!D7/('SMSF Servicing Calculator'!D12+'SMSF Servicing Calculator'!D13+'SMSF Servicing Calculator'!D17+'SMSF Servicing Calculator'!D14)</f>
        <v>#DIV/0!</v>
      </c>
      <c r="D25" s="802"/>
      <c r="E25" s="803"/>
    </row>
    <row r="26" spans="2:6">
      <c r="B26" s="3" t="s">
        <v>37</v>
      </c>
      <c r="C26" s="35" t="e">
        <f>D21-D23</f>
        <v>#NUM!</v>
      </c>
      <c r="D26" s="800" t="s">
        <v>50</v>
      </c>
      <c r="E26" s="801"/>
    </row>
    <row r="27" spans="2:6">
      <c r="B27" s="3" t="s">
        <v>38</v>
      </c>
      <c r="C27" s="35" t="e">
        <f>(D21-D23)*12</f>
        <v>#NUM!</v>
      </c>
      <c r="D27" s="800" t="s">
        <v>43</v>
      </c>
      <c r="E27" s="801"/>
    </row>
    <row r="28" spans="2:6" ht="15.75" thickBot="1">
      <c r="B28" s="13" t="s">
        <v>34</v>
      </c>
      <c r="C28" s="15" t="e">
        <f>C21/C23</f>
        <v>#NUM!</v>
      </c>
      <c r="D28" s="800" t="s">
        <v>42</v>
      </c>
      <c r="E28" s="801"/>
    </row>
    <row r="29" spans="2:6" ht="16.5" thickTop="1" thickBot="1">
      <c r="B29" s="14" t="s">
        <v>27</v>
      </c>
      <c r="C29" s="15" t="e">
        <f>C21/C22</f>
        <v>#NUM!</v>
      </c>
      <c r="D29" s="36"/>
      <c r="E29" s="36"/>
    </row>
    <row r="30" spans="2:6" ht="15.75" thickTop="1"/>
  </sheetData>
  <sheetProtection algorithmName="SHA-512" hashValue="rx+v8fnf1lQNimYJ7iFe7x6isBwL12kIe60ftoCn522d3Jmo9OEM/AciHac76OajKkqPNGjaihRTKOssAc9kww==" saltValue="THHZH211fLwYqcJNv7p48g==" spinCount="100000" sheet="1" objects="1" scenarios="1"/>
  <mergeCells count="4">
    <mergeCell ref="D26:E26"/>
    <mergeCell ref="D27:E27"/>
    <mergeCell ref="D28:E28"/>
    <mergeCell ref="D25:E25"/>
  </mergeCells>
  <phoneticPr fontId="95"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025EF-1983-4224-9862-DD3B313C1BA8}">
  <sheetPr codeName="Sheet9"/>
  <dimension ref="B1:AW98"/>
  <sheetViews>
    <sheetView showGridLines="0" zoomScaleNormal="100" workbookViewId="0">
      <selection activeCell="J3" sqref="J3"/>
    </sheetView>
  </sheetViews>
  <sheetFormatPr defaultColWidth="12.7109375" defaultRowHeight="12.75"/>
  <cols>
    <col min="1" max="1" width="3.7109375" style="105" customWidth="1"/>
    <col min="2" max="2" width="2.28515625" style="105" customWidth="1"/>
    <col min="3" max="3" width="36" style="105" customWidth="1"/>
    <col min="4" max="4" width="13.28515625" style="105" customWidth="1"/>
    <col min="5" max="5" width="3.28515625" style="105" customWidth="1"/>
    <col min="6" max="6" width="13.42578125" style="105" customWidth="1"/>
    <col min="7" max="7" width="2.28515625" style="105" customWidth="1"/>
    <col min="8" max="8" width="12.7109375" style="105" customWidth="1"/>
    <col min="9" max="9" width="2.7109375" style="105" customWidth="1"/>
    <col min="10" max="10" width="13.28515625" style="105" customWidth="1"/>
    <col min="11" max="11" width="17.28515625" style="105" customWidth="1"/>
    <col min="12" max="12" width="2" style="105" customWidth="1"/>
    <col min="13" max="16" width="10.7109375" style="401" hidden="1" customWidth="1"/>
    <col min="17" max="18" width="12.7109375" style="105" hidden="1" customWidth="1"/>
    <col min="19" max="19" width="0.7109375" style="105" hidden="1" customWidth="1"/>
    <col min="20" max="16384" width="12.7109375" style="105"/>
  </cols>
  <sheetData>
    <row r="1" spans="2:17" s="401" customFormat="1" ht="13.5" thickBot="1">
      <c r="B1" s="105"/>
      <c r="C1" s="105"/>
      <c r="D1" s="105"/>
      <c r="E1" s="105"/>
      <c r="F1" s="105"/>
      <c r="G1" s="105"/>
      <c r="H1" s="105"/>
      <c r="I1" s="105"/>
      <c r="J1" s="105"/>
      <c r="K1" s="105"/>
      <c r="L1" s="105"/>
    </row>
    <row r="2" spans="2:17" s="401" customFormat="1" ht="6" customHeight="1">
      <c r="B2" s="728"/>
      <c r="C2" s="729"/>
      <c r="D2" s="730"/>
      <c r="E2" s="730"/>
      <c r="F2" s="731"/>
      <c r="G2" s="730"/>
      <c r="H2" s="730"/>
      <c r="I2" s="730"/>
      <c r="J2" s="730"/>
      <c r="K2" s="730"/>
      <c r="L2" s="732"/>
    </row>
    <row r="3" spans="2:17" s="401" customFormat="1" ht="22.5" customHeight="1">
      <c r="B3" s="804"/>
      <c r="C3" s="805"/>
      <c r="D3" s="733"/>
      <c r="E3" s="733"/>
      <c r="F3" s="733"/>
      <c r="G3" s="733"/>
      <c r="H3" s="733"/>
      <c r="I3" s="733"/>
      <c r="J3" s="733"/>
      <c r="K3" s="733"/>
      <c r="L3" s="734"/>
    </row>
    <row r="4" spans="2:17" s="401" customFormat="1" ht="21" customHeight="1" thickBot="1">
      <c r="B4" s="735"/>
      <c r="C4" s="736" t="s">
        <v>888</v>
      </c>
      <c r="D4" s="806"/>
      <c r="E4" s="807"/>
      <c r="F4" s="807"/>
      <c r="G4" s="737"/>
      <c r="H4" s="738"/>
      <c r="I4" s="739"/>
      <c r="J4" s="739"/>
      <c r="K4" s="739"/>
      <c r="L4" s="740"/>
    </row>
    <row r="5" spans="2:17" s="401" customFormat="1" ht="15" customHeight="1">
      <c r="B5" s="440"/>
      <c r="C5" s="407" t="s">
        <v>887</v>
      </c>
      <c r="D5" s="406"/>
      <c r="E5" s="406"/>
      <c r="F5" s="406"/>
      <c r="G5" s="406"/>
      <c r="H5" s="406"/>
      <c r="I5" s="406"/>
      <c r="J5" s="406"/>
      <c r="K5" s="406"/>
      <c r="L5" s="441"/>
    </row>
    <row r="6" spans="2:17" s="401" customFormat="1" ht="5.25" hidden="1" customHeight="1">
      <c r="B6" s="442"/>
      <c r="C6" s="443"/>
      <c r="D6" s="444"/>
      <c r="E6" s="444"/>
      <c r="F6" s="444"/>
      <c r="G6" s="444"/>
      <c r="H6" s="444"/>
      <c r="I6" s="444"/>
      <c r="J6" s="445"/>
      <c r="K6" s="445"/>
      <c r="L6" s="446"/>
    </row>
    <row r="7" spans="2:17" s="401" customFormat="1" ht="13.5" customHeight="1">
      <c r="B7" s="624"/>
      <c r="C7" s="625"/>
      <c r="D7" s="626" t="s">
        <v>884</v>
      </c>
      <c r="E7" s="626"/>
      <c r="F7" s="626" t="s">
        <v>883</v>
      </c>
      <c r="G7" s="627"/>
      <c r="H7" s="628" t="s">
        <v>882</v>
      </c>
      <c r="I7" s="625"/>
      <c r="J7" s="625"/>
      <c r="K7" s="625"/>
      <c r="L7" s="629"/>
    </row>
    <row r="8" spans="2:17" s="401" customFormat="1" ht="15.75" customHeight="1">
      <c r="B8" s="630"/>
      <c r="C8" s="631" t="s">
        <v>881</v>
      </c>
      <c r="D8" s="632"/>
      <c r="E8" s="633"/>
      <c r="F8" s="632"/>
      <c r="G8" s="634"/>
      <c r="H8" s="808" t="str">
        <f>IF(OR(TaxYearPrev=0,TaxYearCur=0),IF(D24&lt;F24,"Please explain lower current year net income:",IF(D24&gt;F24*1.2,"Please explain &gt; 20% increase in net income:","")),IF(ISERROR(VALUE(D8)&lt;&gt;VALUE(F8)+1),IF(D24&lt;F24,"Please explain lower current year net income:",IF(D24&gt;F24*1.2,"Please explain &gt; 20% increase in net income:","")),IF(VALUE(D8)&lt;&gt;VALUE(F8)+1,"Error - Tax years not in consecutive order",IF(D24&lt;F24,"Please explain lower current year net income:",IF(D24&gt;F24*1.2,"Please explain &gt; 20% increase in net income:","")))))</f>
        <v/>
      </c>
      <c r="I8" s="809"/>
      <c r="J8" s="809"/>
      <c r="K8" s="810"/>
      <c r="L8" s="635"/>
    </row>
    <row r="9" spans="2:17" s="401" customFormat="1" ht="3" customHeight="1">
      <c r="B9" s="630"/>
      <c r="C9" s="636"/>
      <c r="D9" s="637"/>
      <c r="E9" s="637"/>
      <c r="F9" s="637"/>
      <c r="G9" s="636"/>
      <c r="H9" s="638"/>
      <c r="I9" s="639"/>
      <c r="J9" s="639"/>
      <c r="K9" s="640"/>
      <c r="L9" s="635"/>
    </row>
    <row r="10" spans="2:17" s="401" customFormat="1" ht="15.75" customHeight="1">
      <c r="B10" s="641"/>
      <c r="C10" s="642" t="s">
        <v>880</v>
      </c>
      <c r="D10" s="643"/>
      <c r="E10" s="633"/>
      <c r="F10" s="643"/>
      <c r="G10" s="634"/>
      <c r="H10" s="812" t="str">
        <f>IF(AND(ProfitCur&lt;&gt;"",ProfitPrev&lt;&gt;""),"",IF(OR(ProfitCur&lt;&gt;"",ProfitPrev&lt;&gt;""),"Please explain only one year income is being used: ",""))</f>
        <v/>
      </c>
      <c r="I10" s="813"/>
      <c r="J10" s="813"/>
      <c r="K10" s="814"/>
      <c r="L10" s="635"/>
    </row>
    <row r="11" spans="2:17" s="401" customFormat="1" ht="15.75" customHeight="1">
      <c r="B11" s="641"/>
      <c r="C11" s="644" t="s">
        <v>879</v>
      </c>
      <c r="D11" s="645"/>
      <c r="E11" s="633"/>
      <c r="F11" s="645"/>
      <c r="G11" s="634"/>
      <c r="H11" s="815"/>
      <c r="I11" s="816"/>
      <c r="J11" s="816"/>
      <c r="K11" s="817"/>
      <c r="L11" s="635"/>
    </row>
    <row r="12" spans="2:17" s="401" customFormat="1" ht="3.75" customHeight="1">
      <c r="B12" s="641"/>
      <c r="C12" s="644"/>
      <c r="D12" s="644"/>
      <c r="E12" s="644"/>
      <c r="F12" s="644"/>
      <c r="G12" s="634"/>
      <c r="H12" s="815"/>
      <c r="I12" s="816"/>
      <c r="J12" s="816"/>
      <c r="K12" s="817"/>
      <c r="L12" s="635"/>
    </row>
    <row r="13" spans="2:17" s="401" customFormat="1" ht="15.75" customHeight="1" thickBot="1">
      <c r="B13" s="641"/>
      <c r="C13" s="646" t="s">
        <v>878</v>
      </c>
      <c r="D13" s="647">
        <f>ProfitCur-NonRecIncCur</f>
        <v>0</v>
      </c>
      <c r="E13" s="648"/>
      <c r="F13" s="647">
        <f>ProfitPrev-NonRecIncPrev</f>
        <v>0</v>
      </c>
      <c r="G13" s="649"/>
      <c r="H13" s="815"/>
      <c r="I13" s="816"/>
      <c r="J13" s="816"/>
      <c r="K13" s="817"/>
      <c r="L13" s="635"/>
    </row>
    <row r="14" spans="2:17" s="401" customFormat="1" ht="9.75" customHeight="1" thickTop="1">
      <c r="B14" s="641"/>
      <c r="C14" s="642" t="s">
        <v>877</v>
      </c>
      <c r="D14" s="633"/>
      <c r="E14" s="633"/>
      <c r="F14" s="633"/>
      <c r="G14" s="634"/>
      <c r="H14" s="815"/>
      <c r="I14" s="816"/>
      <c r="J14" s="816"/>
      <c r="K14" s="817"/>
      <c r="L14" s="635"/>
    </row>
    <row r="15" spans="2:17" s="401" customFormat="1" ht="15.75" customHeight="1">
      <c r="B15" s="641"/>
      <c r="C15" s="633" t="s">
        <v>876</v>
      </c>
      <c r="D15" s="645"/>
      <c r="E15" s="633"/>
      <c r="F15" s="645"/>
      <c r="G15" s="634"/>
      <c r="H15" s="815"/>
      <c r="I15" s="816"/>
      <c r="J15" s="816"/>
      <c r="K15" s="817"/>
      <c r="L15" s="635"/>
      <c r="N15" s="401" t="s">
        <v>917</v>
      </c>
    </row>
    <row r="16" spans="2:17" s="401" customFormat="1" ht="15.75" customHeight="1">
      <c r="B16" s="641"/>
      <c r="C16" s="633" t="s">
        <v>875</v>
      </c>
      <c r="D16" s="645"/>
      <c r="E16" s="633"/>
      <c r="F16" s="645"/>
      <c r="G16" s="634"/>
      <c r="H16" s="815"/>
      <c r="I16" s="816"/>
      <c r="J16" s="816"/>
      <c r="K16" s="817"/>
      <c r="L16" s="635"/>
      <c r="N16" s="401" t="str">
        <f>IFERROR(IF(SE1Test=1,_SE1dep,IF(SE1Test=2,_SE1depadj,0)),"")</f>
        <v/>
      </c>
      <c r="O16" s="401" t="str">
        <f>IF(AND(ProfitCur&lt;&gt;"",ProfitPrev&lt;&gt;""),(D16+F16)/2,IF(OR(ProfitCur&lt;&gt;"",ProfitPrev&lt;&gt;""),MAX(D16,F16),""))</f>
        <v/>
      </c>
      <c r="Q16" s="401">
        <f>Bus1App1Inc</f>
        <v>0</v>
      </c>
    </row>
    <row r="17" spans="2:17" ht="15.75" customHeight="1">
      <c r="B17" s="641"/>
      <c r="C17" s="633" t="s">
        <v>874</v>
      </c>
      <c r="D17" s="650"/>
      <c r="E17" s="633"/>
      <c r="F17" s="650"/>
      <c r="G17" s="634"/>
      <c r="H17" s="815"/>
      <c r="I17" s="816"/>
      <c r="J17" s="816"/>
      <c r="K17" s="817"/>
      <c r="L17" s="635"/>
      <c r="O17" s="401" t="str">
        <f>IF(AND(ProfitCur&lt;&gt;"",ProfitPrev&lt;&gt;""),IF(D16&lt;F16,MIN(D16,O16),MIN(O16,F16+ABS(F16*0.2))),IF(OR(ProfitCur&lt;&gt;"",ProfitPrev&lt;&gt;""),MAX(D16,F16),""))</f>
        <v/>
      </c>
      <c r="Q17" s="105">
        <f>Bus1App2Inc</f>
        <v>0</v>
      </c>
    </row>
    <row r="18" spans="2:17" ht="15.75" customHeight="1">
      <c r="B18" s="641"/>
      <c r="C18" s="633" t="s">
        <v>873</v>
      </c>
      <c r="D18" s="650"/>
      <c r="E18" s="633"/>
      <c r="F18" s="650"/>
      <c r="G18" s="634"/>
      <c r="H18" s="815"/>
      <c r="I18" s="816"/>
      <c r="J18" s="816"/>
      <c r="K18" s="817"/>
      <c r="L18" s="635"/>
      <c r="Q18" s="105">
        <f>Bus1App3Inc</f>
        <v>0</v>
      </c>
    </row>
    <row r="19" spans="2:17" ht="15.75" customHeight="1">
      <c r="B19" s="641"/>
      <c r="C19" s="633" t="s">
        <v>872</v>
      </c>
      <c r="D19" s="650"/>
      <c r="E19" s="633"/>
      <c r="F19" s="650"/>
      <c r="G19" s="634"/>
      <c r="H19" s="815"/>
      <c r="I19" s="816"/>
      <c r="J19" s="816"/>
      <c r="K19" s="817"/>
      <c r="L19" s="635"/>
      <c r="Q19" s="105">
        <f>Bus1App4Inc</f>
        <v>0</v>
      </c>
    </row>
    <row r="20" spans="2:17" ht="15.75" customHeight="1">
      <c r="B20" s="641"/>
      <c r="C20" s="633" t="s">
        <v>871</v>
      </c>
      <c r="D20" s="650"/>
      <c r="E20" s="633"/>
      <c r="F20" s="650"/>
      <c r="G20" s="634"/>
      <c r="H20" s="815"/>
      <c r="I20" s="816"/>
      <c r="J20" s="816"/>
      <c r="K20" s="817"/>
      <c r="L20" s="635"/>
    </row>
    <row r="21" spans="2:17" ht="4.5" customHeight="1">
      <c r="B21" s="641"/>
      <c r="C21" s="633"/>
      <c r="D21" s="633"/>
      <c r="E21" s="633"/>
      <c r="F21" s="633"/>
      <c r="G21" s="651"/>
      <c r="H21" s="815"/>
      <c r="I21" s="816"/>
      <c r="J21" s="816"/>
      <c r="K21" s="817"/>
      <c r="L21" s="635"/>
    </row>
    <row r="22" spans="2:17" ht="15.75" customHeight="1" thickBot="1">
      <c r="B22" s="641"/>
      <c r="C22" s="642" t="s">
        <v>870</v>
      </c>
      <c r="D22" s="647">
        <f>D15+D17+D18+D19+D20</f>
        <v>0</v>
      </c>
      <c r="E22" s="652"/>
      <c r="F22" s="647">
        <f>F15+F17+F18+F19+F20</f>
        <v>0</v>
      </c>
      <c r="G22" s="634"/>
      <c r="H22" s="818"/>
      <c r="I22" s="819"/>
      <c r="J22" s="819"/>
      <c r="K22" s="820"/>
      <c r="L22" s="635"/>
    </row>
    <row r="23" spans="2:17" ht="7.5" customHeight="1" thickTop="1">
      <c r="B23" s="641"/>
      <c r="C23" s="625"/>
      <c r="D23" s="652"/>
      <c r="E23" s="652"/>
      <c r="F23" s="652"/>
      <c r="G23" s="634"/>
      <c r="H23" s="653"/>
      <c r="I23" s="654"/>
      <c r="J23" s="655"/>
      <c r="K23" s="655"/>
      <c r="L23" s="635"/>
    </row>
    <row r="24" spans="2:17" ht="16.5" customHeight="1">
      <c r="B24" s="641"/>
      <c r="C24" s="642" t="s">
        <v>869</v>
      </c>
      <c r="D24" s="656">
        <f>D13+D22</f>
        <v>0</v>
      </c>
      <c r="E24" s="652"/>
      <c r="F24" s="656">
        <f>F13+F22</f>
        <v>0</v>
      </c>
      <c r="G24" s="634"/>
      <c r="H24" s="625"/>
      <c r="I24" s="657"/>
      <c r="J24" s="625"/>
      <c r="K24" s="625"/>
      <c r="L24" s="635"/>
      <c r="M24" s="404">
        <v>2</v>
      </c>
    </row>
    <row r="25" spans="2:17" ht="5.25" customHeight="1">
      <c r="B25" s="641"/>
      <c r="C25" s="642"/>
      <c r="D25" s="625"/>
      <c r="E25" s="658"/>
      <c r="F25" s="659"/>
      <c r="G25" s="660"/>
      <c r="H25" s="659"/>
      <c r="I25" s="657"/>
      <c r="J25" s="625"/>
      <c r="K25" s="625"/>
      <c r="L25" s="635"/>
    </row>
    <row r="26" spans="2:17" ht="18" customHeight="1">
      <c r="B26" s="641"/>
      <c r="C26" s="633" t="s">
        <v>868</v>
      </c>
      <c r="D26" s="625"/>
      <c r="E26" s="658"/>
      <c r="F26" s="656">
        <f>IF(AND(ProfitCur&lt;&gt;"",ProfitPrev&lt;&gt;""),(F24+D24)/2,IF(OR(ProfitCur&lt;&gt;"",ProfitPrev&lt;&gt;""),MAX(D24,F24),0))</f>
        <v>0</v>
      </c>
      <c r="G26" s="661"/>
      <c r="H26" s="811" t="str">
        <f>IF(AND(SE1netAv&gt;0,SE1netAv&gt;SE1netAvAdj,SE1Test=1),"This amount can only be considered on an exception basis","")</f>
        <v/>
      </c>
      <c r="I26" s="811"/>
      <c r="J26" s="811"/>
      <c r="K26" s="811"/>
      <c r="L26" s="635"/>
    </row>
    <row r="27" spans="2:17" ht="6" customHeight="1">
      <c r="B27" s="641"/>
      <c r="C27" s="662"/>
      <c r="D27" s="663"/>
      <c r="E27" s="658"/>
      <c r="F27" s="664"/>
      <c r="G27" s="663"/>
      <c r="H27" s="659"/>
      <c r="I27" s="657"/>
      <c r="J27" s="663"/>
      <c r="K27" s="663"/>
      <c r="L27" s="635"/>
    </row>
    <row r="28" spans="2:17" ht="18.75" customHeight="1">
      <c r="B28" s="641"/>
      <c r="C28" s="642" t="s">
        <v>867</v>
      </c>
      <c r="D28" s="625"/>
      <c r="E28" s="662"/>
      <c r="F28" s="656">
        <f>IF(AND(ProfitCur&lt;&gt;"",ProfitPrev&lt;&gt;""),IF(D24&lt;F24,MIN(D24,F26),MIN(F26,F24+ABS(F24*0.2))),IF(OR(ProfitCur&lt;&gt;"",ProfitPrev&lt;&gt;""),MAX(D24,F24),0))</f>
        <v>0</v>
      </c>
      <c r="G28" s="665"/>
      <c r="H28" s="821" t="s">
        <v>866</v>
      </c>
      <c r="I28" s="821"/>
      <c r="J28" s="821"/>
      <c r="K28" s="821"/>
      <c r="L28" s="635"/>
    </row>
    <row r="29" spans="2:17" ht="10.5" customHeight="1">
      <c r="B29" s="641"/>
      <c r="C29" s="822" t="s">
        <v>865</v>
      </c>
      <c r="D29" s="822"/>
      <c r="E29" s="666"/>
      <c r="F29" s="667"/>
      <c r="G29" s="668"/>
      <c r="H29" s="668"/>
      <c r="I29" s="668"/>
      <c r="J29" s="669"/>
      <c r="K29" s="669"/>
      <c r="L29" s="635"/>
    </row>
    <row r="30" spans="2:17" ht="7.5" customHeight="1">
      <c r="B30" s="641"/>
      <c r="C30" s="670"/>
      <c r="D30" s="666"/>
      <c r="E30" s="666"/>
      <c r="F30" s="670"/>
      <c r="G30" s="668"/>
      <c r="H30" s="668"/>
      <c r="I30" s="668"/>
      <c r="J30" s="669"/>
      <c r="K30" s="669"/>
      <c r="L30" s="635"/>
    </row>
    <row r="31" spans="2:17" ht="14.25" customHeight="1">
      <c r="B31" s="641"/>
      <c r="C31" s="666"/>
      <c r="D31" s="671" t="s">
        <v>92</v>
      </c>
      <c r="E31" s="671"/>
      <c r="F31" s="671" t="s">
        <v>90</v>
      </c>
      <c r="G31" s="672"/>
      <c r="H31" s="671" t="s">
        <v>89</v>
      </c>
      <c r="I31" s="672"/>
      <c r="J31" s="671" t="s">
        <v>88</v>
      </c>
      <c r="K31" s="671" t="s">
        <v>864</v>
      </c>
      <c r="L31" s="635"/>
    </row>
    <row r="32" spans="2:17" ht="16.5" customHeight="1">
      <c r="B32" s="641"/>
      <c r="C32" s="673" t="s">
        <v>863</v>
      </c>
      <c r="D32" s="674"/>
      <c r="E32" s="675"/>
      <c r="F32" s="674"/>
      <c r="G32" s="676"/>
      <c r="H32" s="674"/>
      <c r="I32" s="676"/>
      <c r="J32" s="674"/>
      <c r="K32" s="677" t="str">
        <f>IF(ROUND(D32+F32+H32+J32,3)&gt;100%,"Error - Total &gt;100%",TEXT(ROUND(D32+F32+H32+J32,3),"0.00%"))</f>
        <v>0.00%</v>
      </c>
      <c r="L32" s="678" t="str">
        <f>IF(ROUND(D32+F32+H32+J32,3)&gt;100%,K32,"")</f>
        <v/>
      </c>
      <c r="M32" s="403">
        <f>ROUND(MAX(1-Bus1_App2Distr-Bus1_App3Distr-Bus1_App4Distr,0),8)</f>
        <v>1</v>
      </c>
      <c r="N32" s="403">
        <f>ROUND(MAX(1-Bus1_App1Distr-Bus1_App3Distr-Bus1_App4Distr,0),8)</f>
        <v>1</v>
      </c>
      <c r="O32" s="403">
        <f>ROUND(MAX(1-Bus1_App2Distr-Bus1_App1Distr-Bus1_App4Distr,0),8)</f>
        <v>1</v>
      </c>
      <c r="P32" s="403">
        <f>ROUND(1-Bus1_App2Distr-Bus1_App3Distr-Bus1_App1Distr,8)</f>
        <v>1</v>
      </c>
    </row>
    <row r="33" spans="2:17" ht="3.75" customHeight="1">
      <c r="B33" s="641"/>
      <c r="C33" s="673"/>
      <c r="D33" s="679"/>
      <c r="E33" s="679"/>
      <c r="F33" s="679"/>
      <c r="G33" s="679"/>
      <c r="H33" s="679"/>
      <c r="I33" s="679"/>
      <c r="J33" s="679"/>
      <c r="K33" s="680"/>
      <c r="L33" s="678"/>
    </row>
    <row r="34" spans="2:17" ht="16.5" customHeight="1">
      <c r="B34" s="641"/>
      <c r="C34" s="681" t="s">
        <v>886</v>
      </c>
      <c r="D34" s="656">
        <f>IFERROR(IF(SE1Test=1,Bus1_App1Distr*SE1netAv,IF(SE1Test=2,Bus1_App1Distr*SE1netAvAdj,0)),"")</f>
        <v>0</v>
      </c>
      <c r="E34" s="667"/>
      <c r="F34" s="656">
        <f>IFERROR(IF(SE1Test=1,Bus1_App2Distr*SE1netAv,IF(SE1Test=2,Bus1_App2Distr*SE1netAvAdj,0)),"")</f>
        <v>0</v>
      </c>
      <c r="G34" s="682"/>
      <c r="H34" s="656">
        <f>IFERROR(IF(SE1Test=1,Bus1_App3Distr*SE1netAv,IF(SE1Test=2,Bus1_App3Distr*SE1netAvAdj,0)),"")</f>
        <v>0</v>
      </c>
      <c r="I34" s="682"/>
      <c r="J34" s="656">
        <f>IFERROR(IF(SE1Test=1,Bus1_App4Distr*SE1netAv,IF(SE1Test=2,Bus1_App4Distr*SE1netAvAdj,0)),"")</f>
        <v>0</v>
      </c>
      <c r="K34" s="669"/>
      <c r="L34" s="635"/>
      <c r="P34" s="405"/>
    </row>
    <row r="35" spans="2:17" ht="7.5" customHeight="1">
      <c r="B35" s="641"/>
      <c r="C35" s="666"/>
      <c r="D35" s="666"/>
      <c r="E35" s="666"/>
      <c r="F35" s="666"/>
      <c r="G35" s="668"/>
      <c r="H35" s="668"/>
      <c r="I35" s="668"/>
      <c r="J35" s="669"/>
      <c r="K35" s="669"/>
      <c r="L35" s="635"/>
    </row>
    <row r="36" spans="2:17" ht="17.25" hidden="1" customHeight="1">
      <c r="B36" s="447"/>
      <c r="C36" s="435" t="s">
        <v>918</v>
      </c>
      <c r="D36" s="435">
        <f>IF('Self Employed Calculator'!$N$16="",0,'Self Employed Calculator'!$N$16)*Bus1_App1Distr</f>
        <v>0</v>
      </c>
      <c r="E36" s="435"/>
      <c r="F36" s="435">
        <f>IF('Self Employed Calculator'!$N$16="",0,'Self Employed Calculator'!$N$16)*Bus1_App2Distr</f>
        <v>0</v>
      </c>
      <c r="G36" s="435"/>
      <c r="H36" s="435">
        <f>IF('Self Employed Calculator'!$N$16="",0,'Self Employed Calculator'!$N$16)*Bus1_App3Distr</f>
        <v>0</v>
      </c>
      <c r="I36" s="435"/>
      <c r="J36" s="435">
        <f>IF('Self Employed Calculator'!$N$16="",0,'Self Employed Calculator'!$N$16)*Bus1_App4Distr</f>
        <v>0</v>
      </c>
      <c r="K36" s="435"/>
      <c r="L36" s="448"/>
    </row>
    <row r="37" spans="2:17" ht="16.5" customHeight="1">
      <c r="B37" s="449"/>
      <c r="C37" s="450" t="s">
        <v>885</v>
      </c>
      <c r="D37" s="451"/>
      <c r="E37" s="451"/>
      <c r="F37" s="451"/>
      <c r="G37" s="451"/>
      <c r="H37" s="451"/>
      <c r="I37" s="451"/>
      <c r="J37" s="452"/>
      <c r="K37" s="452"/>
      <c r="L37" s="453"/>
    </row>
    <row r="38" spans="2:17" ht="5.25" hidden="1" customHeight="1">
      <c r="B38" s="442"/>
      <c r="C38" s="443"/>
      <c r="D38" s="444"/>
      <c r="E38" s="444"/>
      <c r="F38" s="444"/>
      <c r="G38" s="444"/>
      <c r="H38" s="444"/>
      <c r="I38" s="444"/>
      <c r="J38" s="445"/>
      <c r="K38" s="445"/>
      <c r="L38" s="446"/>
    </row>
    <row r="39" spans="2:17" ht="14.25" customHeight="1">
      <c r="B39" s="624"/>
      <c r="C39" s="625"/>
      <c r="D39" s="626" t="s">
        <v>884</v>
      </c>
      <c r="E39" s="626"/>
      <c r="F39" s="626" t="s">
        <v>883</v>
      </c>
      <c r="G39" s="627"/>
      <c r="H39" s="628" t="s">
        <v>882</v>
      </c>
      <c r="I39" s="625"/>
      <c r="J39" s="625"/>
      <c r="K39" s="625"/>
      <c r="L39" s="629"/>
    </row>
    <row r="40" spans="2:17" ht="15.75" customHeight="1">
      <c r="B40" s="630"/>
      <c r="C40" s="631" t="s">
        <v>881</v>
      </c>
      <c r="D40" s="632"/>
      <c r="E40" s="633"/>
      <c r="F40" s="632"/>
      <c r="G40" s="634"/>
      <c r="H40" s="823" t="str">
        <f>IF(OR(TaxYearPrev2=0,TaxYearCur2=0),IF(D56&lt;F56,"Please explain lower current year net income:",IF(D56&gt;F56*1.2,"Please explain &gt; 20% increase in net income:","")),IF(ISERROR(VALUE(D40)&lt;&gt;VALUE(F40)+1),IF(D56&lt;F56,"Please explain lower current year net income:",IF(D56&gt;F56*1.2,"Please explain &gt; 20% increase in net income:","")),IF(VALUE(D40)&lt;&gt;VALUE(F40)+1,"Error - Tax years not in consecutive order",IF(D56&lt;F56,"Please explain lower current year net income:",IF(D56&gt;F56*1.2,"Please explain &gt; 20% increase in net income:","")))))</f>
        <v/>
      </c>
      <c r="I40" s="824"/>
      <c r="J40" s="824"/>
      <c r="K40" s="825"/>
      <c r="L40" s="635"/>
    </row>
    <row r="41" spans="2:17" ht="3" customHeight="1">
      <c r="B41" s="630"/>
      <c r="C41" s="636"/>
      <c r="D41" s="637"/>
      <c r="E41" s="637"/>
      <c r="F41" s="637"/>
      <c r="G41" s="636"/>
      <c r="H41" s="638"/>
      <c r="I41" s="639"/>
      <c r="J41" s="639"/>
      <c r="K41" s="640"/>
      <c r="L41" s="635"/>
    </row>
    <row r="42" spans="2:17" ht="15.75" customHeight="1">
      <c r="B42" s="641"/>
      <c r="C42" s="642" t="s">
        <v>880</v>
      </c>
      <c r="D42" s="643"/>
      <c r="E42" s="633"/>
      <c r="F42" s="643"/>
      <c r="G42" s="634"/>
      <c r="H42" s="812" t="str">
        <f>IF(AND(ProfitCur2&lt;&gt;"",ProfitPrev2&lt;&gt;""),"",IF(OR(ProfitCur2&lt;&gt;"",ProfitPrev2&lt;&gt;""),"Please explain only one year income is being used: ",""))</f>
        <v/>
      </c>
      <c r="I42" s="813"/>
      <c r="J42" s="813"/>
      <c r="K42" s="814"/>
      <c r="L42" s="635"/>
    </row>
    <row r="43" spans="2:17" ht="15.75" customHeight="1">
      <c r="B43" s="641"/>
      <c r="C43" s="644" t="s">
        <v>879</v>
      </c>
      <c r="D43" s="645"/>
      <c r="E43" s="633"/>
      <c r="F43" s="645"/>
      <c r="G43" s="634"/>
      <c r="H43" s="815"/>
      <c r="I43" s="816"/>
      <c r="J43" s="816"/>
      <c r="K43" s="817"/>
      <c r="L43" s="635"/>
    </row>
    <row r="44" spans="2:17" ht="3.75" customHeight="1">
      <c r="B44" s="641"/>
      <c r="C44" s="644"/>
      <c r="D44" s="644"/>
      <c r="E44" s="644"/>
      <c r="F44" s="644"/>
      <c r="G44" s="634"/>
      <c r="H44" s="815"/>
      <c r="I44" s="816"/>
      <c r="J44" s="816"/>
      <c r="K44" s="817"/>
      <c r="L44" s="635"/>
    </row>
    <row r="45" spans="2:17" ht="15.75" customHeight="1" thickBot="1">
      <c r="B45" s="641"/>
      <c r="C45" s="646" t="s">
        <v>878</v>
      </c>
      <c r="D45" s="647">
        <f>ProfitCur2-NonRecIncCur2</f>
        <v>0</v>
      </c>
      <c r="E45" s="648"/>
      <c r="F45" s="647">
        <f>ProfitPrev2-NonRecIncPrev2</f>
        <v>0</v>
      </c>
      <c r="G45" s="649"/>
      <c r="H45" s="815"/>
      <c r="I45" s="816"/>
      <c r="J45" s="816"/>
      <c r="K45" s="817"/>
      <c r="L45" s="635"/>
    </row>
    <row r="46" spans="2:17" ht="10.5" customHeight="1" thickTop="1">
      <c r="B46" s="641"/>
      <c r="C46" s="642" t="s">
        <v>877</v>
      </c>
      <c r="D46" s="633"/>
      <c r="E46" s="633"/>
      <c r="F46" s="633"/>
      <c r="G46" s="634"/>
      <c r="H46" s="815"/>
      <c r="I46" s="816"/>
      <c r="J46" s="816"/>
      <c r="K46" s="817"/>
      <c r="L46" s="635"/>
    </row>
    <row r="47" spans="2:17" ht="15.75" customHeight="1">
      <c r="B47" s="641"/>
      <c r="C47" s="633" t="s">
        <v>876</v>
      </c>
      <c r="D47" s="645"/>
      <c r="E47" s="633"/>
      <c r="F47" s="645"/>
      <c r="G47" s="634"/>
      <c r="H47" s="815"/>
      <c r="I47" s="816"/>
      <c r="J47" s="816"/>
      <c r="K47" s="817"/>
      <c r="L47" s="635"/>
      <c r="N47" s="401" t="s">
        <v>917</v>
      </c>
    </row>
    <row r="48" spans="2:17" ht="15.75" customHeight="1">
      <c r="B48" s="641"/>
      <c r="C48" s="633" t="s">
        <v>875</v>
      </c>
      <c r="D48" s="645"/>
      <c r="E48" s="633"/>
      <c r="F48" s="645"/>
      <c r="G48" s="634"/>
      <c r="H48" s="815"/>
      <c r="I48" s="816"/>
      <c r="J48" s="816"/>
      <c r="K48" s="817"/>
      <c r="L48" s="635"/>
      <c r="N48" s="401" t="str">
        <f>IFERROR(IF(SE2Test=1,_SE2dep,IF(SE2Test=2,_SE2depadj,0)),"")</f>
        <v/>
      </c>
      <c r="O48" s="401" t="str">
        <f>IF(AND(ProfitCur2&lt;&gt;"",ProfitPrev2&lt;&gt;""),(D48+F48)/2,IF(OR(ProfitCur2&lt;&gt;"",ProfitPrev2&lt;&gt;""),MAX(D48,F48),""))</f>
        <v/>
      </c>
      <c r="Q48" s="105">
        <f>Bus2App1Inc</f>
        <v>0</v>
      </c>
    </row>
    <row r="49" spans="2:17" ht="15.75" customHeight="1">
      <c r="B49" s="641"/>
      <c r="C49" s="633" t="s">
        <v>874</v>
      </c>
      <c r="D49" s="645"/>
      <c r="E49" s="633"/>
      <c r="F49" s="645"/>
      <c r="G49" s="634"/>
      <c r="H49" s="815"/>
      <c r="I49" s="816"/>
      <c r="J49" s="816"/>
      <c r="K49" s="817"/>
      <c r="L49" s="635"/>
      <c r="O49" s="401" t="str">
        <f>IF(AND(ProfitCur2&lt;&gt;"",ProfitPrev2&lt;&gt;""),IF(D48&lt;F48,MIN(D48,O48),MIN(O48,F48+ABS(F48*0.2))),IF(OR(ProfitCur2&lt;&gt;"",ProfitPrev2&lt;&gt;""),MAX(D48,F48),""))</f>
        <v/>
      </c>
      <c r="Q49" s="105">
        <f>Bus2App2Inc</f>
        <v>0</v>
      </c>
    </row>
    <row r="50" spans="2:17" ht="15.75" customHeight="1">
      <c r="B50" s="641"/>
      <c r="C50" s="633" t="s">
        <v>873</v>
      </c>
      <c r="D50" s="645"/>
      <c r="E50" s="633"/>
      <c r="F50" s="645"/>
      <c r="G50" s="634"/>
      <c r="H50" s="815"/>
      <c r="I50" s="816"/>
      <c r="J50" s="816"/>
      <c r="K50" s="817"/>
      <c r="L50" s="635"/>
      <c r="Q50" s="105">
        <f>Bus2App3Inc</f>
        <v>0</v>
      </c>
    </row>
    <row r="51" spans="2:17" ht="15.75" customHeight="1">
      <c r="B51" s="641"/>
      <c r="C51" s="633" t="s">
        <v>872</v>
      </c>
      <c r="D51" s="645"/>
      <c r="E51" s="633"/>
      <c r="F51" s="645"/>
      <c r="G51" s="634"/>
      <c r="H51" s="815"/>
      <c r="I51" s="816"/>
      <c r="J51" s="816"/>
      <c r="K51" s="817"/>
      <c r="L51" s="635"/>
      <c r="Q51" s="105">
        <f>Bus2App4Inc</f>
        <v>0</v>
      </c>
    </row>
    <row r="52" spans="2:17" ht="15.75" customHeight="1">
      <c r="B52" s="641"/>
      <c r="C52" s="633" t="s">
        <v>871</v>
      </c>
      <c r="D52" s="645"/>
      <c r="E52" s="633"/>
      <c r="F52" s="645"/>
      <c r="G52" s="634"/>
      <c r="H52" s="815"/>
      <c r="I52" s="816"/>
      <c r="J52" s="816"/>
      <c r="K52" s="817"/>
      <c r="L52" s="635"/>
    </row>
    <row r="53" spans="2:17" ht="4.5" customHeight="1">
      <c r="B53" s="641"/>
      <c r="C53" s="633"/>
      <c r="D53" s="633"/>
      <c r="E53" s="633"/>
      <c r="F53" s="633"/>
      <c r="G53" s="651"/>
      <c r="H53" s="815"/>
      <c r="I53" s="816"/>
      <c r="J53" s="816"/>
      <c r="K53" s="817"/>
      <c r="L53" s="635"/>
    </row>
    <row r="54" spans="2:17" ht="15.75" customHeight="1" thickBot="1">
      <c r="B54" s="641"/>
      <c r="C54" s="642" t="s">
        <v>870</v>
      </c>
      <c r="D54" s="647">
        <f>D47+D49+D50+D51+D52</f>
        <v>0</v>
      </c>
      <c r="E54" s="652"/>
      <c r="F54" s="647">
        <f>F47+F49+F50+F51+F52</f>
        <v>0</v>
      </c>
      <c r="G54" s="634"/>
      <c r="H54" s="818"/>
      <c r="I54" s="819"/>
      <c r="J54" s="819"/>
      <c r="K54" s="820"/>
      <c r="L54" s="635"/>
    </row>
    <row r="55" spans="2:17" ht="7.5" customHeight="1" thickTop="1">
      <c r="B55" s="641"/>
      <c r="C55" s="625"/>
      <c r="D55" s="652"/>
      <c r="E55" s="652"/>
      <c r="F55" s="652"/>
      <c r="G55" s="634"/>
      <c r="H55" s="653"/>
      <c r="I55" s="654"/>
      <c r="J55" s="655"/>
      <c r="K55" s="655"/>
      <c r="L55" s="635"/>
    </row>
    <row r="56" spans="2:17" ht="16.5" customHeight="1">
      <c r="B56" s="641"/>
      <c r="C56" s="642" t="s">
        <v>869</v>
      </c>
      <c r="D56" s="656">
        <f>D45+D54</f>
        <v>0</v>
      </c>
      <c r="E56" s="652"/>
      <c r="F56" s="656">
        <f>F45+F54</f>
        <v>0</v>
      </c>
      <c r="G56" s="634"/>
      <c r="H56" s="625"/>
      <c r="I56" s="657"/>
      <c r="J56" s="625"/>
      <c r="K56" s="625"/>
      <c r="L56" s="635"/>
      <c r="M56" s="404">
        <v>2</v>
      </c>
    </row>
    <row r="57" spans="2:17" ht="6" customHeight="1">
      <c r="B57" s="641"/>
      <c r="C57" s="642"/>
      <c r="D57" s="625"/>
      <c r="E57" s="658"/>
      <c r="F57" s="659"/>
      <c r="G57" s="660"/>
      <c r="H57" s="659"/>
      <c r="I57" s="657"/>
      <c r="J57" s="625"/>
      <c r="K57" s="625"/>
      <c r="L57" s="635"/>
    </row>
    <row r="58" spans="2:17" ht="16.5" customHeight="1">
      <c r="B58" s="641"/>
      <c r="C58" s="633" t="s">
        <v>868</v>
      </c>
      <c r="D58" s="625"/>
      <c r="E58" s="658"/>
      <c r="F58" s="656">
        <f>IF(AND(ProfitCur2&lt;&gt;"",ProfitPrev2&lt;&gt;""),(F56+D56)/2,IF(OR(ProfitCur2&lt;&gt;"",ProfitPrev2&lt;&gt;""),MAX(D56,F56),0))</f>
        <v>0</v>
      </c>
      <c r="G58" s="661"/>
      <c r="H58" s="811" t="str">
        <f>IF(AND(SE2netAv&gt;0,SE2netAv&gt;SE2netAvAdj,SE2Test=1),"This amount can only be considered on an exception basis","")</f>
        <v/>
      </c>
      <c r="I58" s="811"/>
      <c r="J58" s="811"/>
      <c r="K58" s="811"/>
      <c r="L58" s="635"/>
    </row>
    <row r="59" spans="2:17" ht="6" customHeight="1">
      <c r="B59" s="641"/>
      <c r="C59" s="662"/>
      <c r="D59" s="663"/>
      <c r="E59" s="658"/>
      <c r="F59" s="664"/>
      <c r="G59" s="663"/>
      <c r="H59" s="659"/>
      <c r="I59" s="657"/>
      <c r="J59" s="663"/>
      <c r="K59" s="663"/>
      <c r="L59" s="635"/>
    </row>
    <row r="60" spans="2:17" ht="17.25" customHeight="1">
      <c r="B60" s="641"/>
      <c r="C60" s="642" t="s">
        <v>867</v>
      </c>
      <c r="D60" s="625"/>
      <c r="E60" s="662"/>
      <c r="F60" s="656">
        <f>IF(AND(ProfitCur2&lt;&gt;"",ProfitPrev2&lt;&gt;""),IF(D56&lt;F56,MIN(D56,F58),MIN(F58,F56+ABS(F56*0.2))),IF(OR(ProfitCur2&lt;&gt;"",ProfitPrev2&lt;&gt;""),MAX(D56,F56),0))</f>
        <v>0</v>
      </c>
      <c r="G60" s="665"/>
      <c r="H60" s="821" t="s">
        <v>866</v>
      </c>
      <c r="I60" s="821"/>
      <c r="J60" s="821"/>
      <c r="K60" s="821"/>
      <c r="L60" s="635"/>
    </row>
    <row r="61" spans="2:17" ht="11.25" customHeight="1">
      <c r="B61" s="641"/>
      <c r="C61" s="822" t="s">
        <v>865</v>
      </c>
      <c r="D61" s="822"/>
      <c r="E61" s="666"/>
      <c r="F61" s="667"/>
      <c r="G61" s="668"/>
      <c r="H61" s="668"/>
      <c r="I61" s="668"/>
      <c r="J61" s="669"/>
      <c r="K61" s="669"/>
      <c r="L61" s="635"/>
    </row>
    <row r="62" spans="2:17" ht="6.75" customHeight="1">
      <c r="B62" s="641"/>
      <c r="C62" s="670"/>
      <c r="D62" s="666"/>
      <c r="E62" s="666"/>
      <c r="F62" s="670"/>
      <c r="G62" s="668"/>
      <c r="H62" s="668"/>
      <c r="I62" s="668"/>
      <c r="J62" s="669"/>
      <c r="K62" s="669"/>
      <c r="L62" s="635"/>
    </row>
    <row r="63" spans="2:17" ht="13.5" customHeight="1">
      <c r="B63" s="641"/>
      <c r="C63" s="666"/>
      <c r="D63" s="671" t="s">
        <v>92</v>
      </c>
      <c r="E63" s="671"/>
      <c r="F63" s="671" t="s">
        <v>90</v>
      </c>
      <c r="G63" s="672"/>
      <c r="H63" s="671" t="s">
        <v>89</v>
      </c>
      <c r="I63" s="672"/>
      <c r="J63" s="671" t="s">
        <v>88</v>
      </c>
      <c r="K63" s="671" t="s">
        <v>864</v>
      </c>
      <c r="L63" s="635"/>
    </row>
    <row r="64" spans="2:17" ht="15.75" customHeight="1">
      <c r="B64" s="641"/>
      <c r="C64" s="673" t="s">
        <v>863</v>
      </c>
      <c r="D64" s="674"/>
      <c r="E64" s="675"/>
      <c r="F64" s="674"/>
      <c r="G64" s="676"/>
      <c r="H64" s="674"/>
      <c r="I64" s="676"/>
      <c r="J64" s="674"/>
      <c r="K64" s="677" t="str">
        <f>IF(ROUND(D64+F64+H64+J64,3)&gt;100%,"Error - Total &gt;100%",TEXT(ROUND(D64+F64+H64+J64,3),"0.00%"))</f>
        <v>0.00%</v>
      </c>
      <c r="L64" s="678" t="str">
        <f>IF(ROUND(D64+F64+H64+J64,3)&gt;100%,K64,"")</f>
        <v/>
      </c>
      <c r="M64" s="403">
        <f>ROUND(MAX(1-Bus2_App2Distr-Bus2_App3Distr-Bus2_App4Distr,0),8)</f>
        <v>1</v>
      </c>
      <c r="N64" s="403">
        <f>ROUND(MAX(1-Bus2_App1Distr-Bus2_App3Distr-Bus2_App4Distr,0),8)</f>
        <v>1</v>
      </c>
      <c r="O64" s="403">
        <f>ROUND(MAX(1-Bus2_App2Distr-Bus2_App1Distr-Bus2_App4Distr,0),8)</f>
        <v>1</v>
      </c>
      <c r="P64" s="403">
        <f>ROUND(MAX(1-Bus2_App2Distr-Bus2_App3Distr-Bus2_App1Distr,0),8)</f>
        <v>1</v>
      </c>
    </row>
    <row r="65" spans="2:13" ht="3.75" customHeight="1">
      <c r="B65" s="641"/>
      <c r="C65" s="673"/>
      <c r="D65" s="679"/>
      <c r="E65" s="679"/>
      <c r="F65" s="679"/>
      <c r="G65" s="679"/>
      <c r="H65" s="679"/>
      <c r="I65" s="679"/>
      <c r="J65" s="679"/>
      <c r="K65" s="680"/>
      <c r="L65" s="678"/>
    </row>
    <row r="66" spans="2:13" ht="16.5" customHeight="1">
      <c r="B66" s="641"/>
      <c r="C66" s="681" t="s">
        <v>862</v>
      </c>
      <c r="D66" s="656">
        <f>IFERROR(IF(SE2Test=1,Bus2_App1Distr*SE2netAv,IF(SE2Test=2,Bus2_App1Distr*SE2netAvAdj,0)),"")</f>
        <v>0</v>
      </c>
      <c r="E66" s="667"/>
      <c r="F66" s="656">
        <f>IFERROR(IF(SE2Test=1,Bus2_App2Distr*SE2netAv,IF(SE2Test=2,Bus2_App2Distr*SE2netAvAdj,0)),"")</f>
        <v>0</v>
      </c>
      <c r="G66" s="682"/>
      <c r="H66" s="656">
        <f>IFERROR(IF(SE2Test=1,Bus2_App3Distr*SE2netAv,IF(SE2Test=2,Bus2_App3Distr*SE2netAvAdj,0)),"")</f>
        <v>0</v>
      </c>
      <c r="I66" s="682"/>
      <c r="J66" s="656">
        <f>IFERROR(IF(SE2Test=1,Bus2_App4Distr*SE2netAv,IF(SE2Test=2,Bus2_App4Distr*SE2netAvAdj,0)),"")</f>
        <v>0</v>
      </c>
      <c r="K66" s="669"/>
      <c r="L66" s="635"/>
    </row>
    <row r="67" spans="2:13" ht="6.75" customHeight="1" thickBot="1">
      <c r="B67" s="683"/>
      <c r="C67" s="684"/>
      <c r="D67" s="684"/>
      <c r="E67" s="684"/>
      <c r="F67" s="684"/>
      <c r="G67" s="685"/>
      <c r="H67" s="685"/>
      <c r="I67" s="685"/>
      <c r="J67" s="686"/>
      <c r="K67" s="686"/>
      <c r="L67" s="687"/>
    </row>
    <row r="68" spans="2:13" ht="17.25" hidden="1" customHeight="1" thickBot="1">
      <c r="B68" s="436"/>
      <c r="C68" s="437" t="s">
        <v>918</v>
      </c>
      <c r="D68" s="437">
        <f>IF('Self Employed Calculator'!N48="",0,'Self Employed Calculator'!N48)*Bus2_App1Distr</f>
        <v>0</v>
      </c>
      <c r="E68" s="437"/>
      <c r="F68" s="437">
        <f>IF('Self Employed Calculator'!N48="",0,'Self Employed Calculator'!N48)*Bus2_App2Distr</f>
        <v>0</v>
      </c>
      <c r="G68" s="437"/>
      <c r="H68" s="437">
        <f>IF('Self Employed Calculator'!N48="",0,'Self Employed Calculator'!N48)*Bus2_App3Distr</f>
        <v>0</v>
      </c>
      <c r="I68" s="437"/>
      <c r="J68" s="437">
        <f>IF('Self Employed Calculator'!N48="",0,'Self Employed Calculator'!N48)*Bus2_App4Distr</f>
        <v>0</v>
      </c>
      <c r="K68" s="438"/>
      <c r="L68" s="439"/>
    </row>
    <row r="69" spans="2:13" ht="12" customHeight="1">
      <c r="M69" s="402"/>
    </row>
    <row r="70" spans="2:13" ht="12" customHeight="1">
      <c r="M70" s="402"/>
    </row>
    <row r="71" spans="2:13" ht="12.75" customHeight="1">
      <c r="M71" s="402"/>
    </row>
    <row r="72" spans="2:13" ht="12.75" customHeight="1">
      <c r="M72" s="402"/>
    </row>
    <row r="73" spans="2:13" ht="12.75" customHeight="1">
      <c r="M73" s="402"/>
    </row>
    <row r="98" spans="49:49">
      <c r="AW98" s="105" t="s">
        <v>290</v>
      </c>
    </row>
  </sheetData>
  <sheetProtection algorithmName="SHA-512" hashValue="mqEGrjkIaSlqjNqW97ywal1qtr6VQNEl68ozZNb1+s3MfFqFTNKdGLO5zv54ziPKdszTXiILGO5giN9Bj2AGZA==" saltValue="2cVWKSamNYm9miB0dT7aUQ==" spinCount="100000" sheet="1" objects="1" scenarios="1"/>
  <mergeCells count="14">
    <mergeCell ref="H58:K58"/>
    <mergeCell ref="H60:K60"/>
    <mergeCell ref="C61:D61"/>
    <mergeCell ref="H28:K28"/>
    <mergeCell ref="C29:D29"/>
    <mergeCell ref="H40:K40"/>
    <mergeCell ref="H43:K54"/>
    <mergeCell ref="H42:K42"/>
    <mergeCell ref="B3:C3"/>
    <mergeCell ref="D4:F4"/>
    <mergeCell ref="H8:K8"/>
    <mergeCell ref="H26:K26"/>
    <mergeCell ref="H10:K10"/>
    <mergeCell ref="H11:K22"/>
  </mergeCells>
  <phoneticPr fontId="95" type="noConversion"/>
  <conditionalFormatting sqref="K32:K33">
    <cfRule type="cellIs" dxfId="15" priority="2" stopIfTrue="1" operator="equal">
      <formula>$L$32</formula>
    </cfRule>
  </conditionalFormatting>
  <conditionalFormatting sqref="K64:K65">
    <cfRule type="cellIs" dxfId="14" priority="1" stopIfTrue="1" operator="equal">
      <formula>$L$32</formula>
    </cfRule>
  </conditionalFormatting>
  <dataValidations count="5">
    <dataValidation type="decimal" allowBlank="1" showInputMessage="1" showErrorMessage="1" errorTitle="Input error" error="Please enter a % between 0 and 100. _x000a_Total allocation cannot be &gt; 100%." sqref="D64 D32" xr:uid="{4D131CE4-D48E-4B47-BB9E-55A041FFFCEE}">
      <formula1>0</formula1>
      <formula2>M32</formula2>
    </dataValidation>
    <dataValidation type="decimal" operator="greaterThanOrEqual" allowBlank="1" showInputMessage="1" showErrorMessage="1" errorTitle="Value" error="Must be greater than or equal to zero" sqref="D15:D20 F15:F20 F47:F52 D47:D52" xr:uid="{A0581220-3147-42CB-815C-F9B607F35B1D}">
      <formula1>0</formula1>
    </dataValidation>
    <dataValidation type="decimal" allowBlank="1" showInputMessage="1" showErrorMessage="1" errorTitle="Input error" error="Please enter a % between 0 and 100. _x000a_Total allocation cannot be &gt; 100%." sqref="J32 J64" xr:uid="{0A30E5EF-E4E1-4680-8F6E-810B5F29C183}">
      <formula1>0</formula1>
      <formula2>P32</formula2>
    </dataValidation>
    <dataValidation type="decimal" allowBlank="1" showInputMessage="1" showErrorMessage="1" errorTitle="Input error" error="Please enter a % between 0 and 100. _x000a_Total allocation cannot be &gt; 100%." sqref="F32 F64" xr:uid="{9FDF8D4F-9164-4264-950C-E09B348F761C}">
      <formula1>0</formula1>
      <formula2>N32</formula2>
    </dataValidation>
    <dataValidation type="decimal" allowBlank="1" showInputMessage="1" showErrorMessage="1" errorTitle="Input error" error="Please enter a % between 0 and 100. _x000a_Total allocation cannot be &gt; 100%." sqref="H32 H64" xr:uid="{66A40EFD-3D5A-4263-9818-E80C43F944C0}">
      <formula1>0</formula1>
      <formula2>O32</formula2>
    </dataValidation>
  </dataValidations>
  <pageMargins left="0.3" right="0.16" top="0.56999999999999995" bottom="0.19" header="0.25" footer="0.14000000000000001"/>
  <pageSetup paperSize="9" scale="8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ackButton">
              <controlPr defaultSize="0" print="0" autoFill="0" autoPict="0" macro="[0]!BackButton_Click">
                <anchor moveWithCells="1" sizeWithCells="1">
                  <from>
                    <xdr:col>7</xdr:col>
                    <xdr:colOff>323850</xdr:colOff>
                    <xdr:row>1</xdr:row>
                    <xdr:rowOff>57150</xdr:rowOff>
                  </from>
                  <to>
                    <xdr:col>10</xdr:col>
                    <xdr:colOff>266700</xdr:colOff>
                    <xdr:row>2</xdr:row>
                    <xdr:rowOff>180975</xdr:rowOff>
                  </to>
                </anchor>
              </controlPr>
            </control>
          </mc:Choice>
        </mc:AlternateContent>
        <mc:AlternateContent xmlns:mc="http://schemas.openxmlformats.org/markup-compatibility/2006">
          <mc:Choice Requires="x14">
            <control shapeId="26626" r:id="rId5" name="SEResetButton">
              <controlPr defaultSize="0" print="0" autoFill="0" autoPict="0" macro="[0]!Reset_se">
                <anchor moveWithCells="1" sizeWithCells="1">
                  <from>
                    <xdr:col>10</xdr:col>
                    <xdr:colOff>438150</xdr:colOff>
                    <xdr:row>1</xdr:row>
                    <xdr:rowOff>57150</xdr:rowOff>
                  </from>
                  <to>
                    <xdr:col>10</xdr:col>
                    <xdr:colOff>1066800</xdr:colOff>
                    <xdr:row>2</xdr:row>
                    <xdr:rowOff>180975</xdr:rowOff>
                  </to>
                </anchor>
              </controlPr>
            </control>
          </mc:Choice>
        </mc:AlternateContent>
        <mc:AlternateContent xmlns:mc="http://schemas.openxmlformats.org/markup-compatibility/2006">
          <mc:Choice Requires="x14">
            <control shapeId="26627" r:id="rId6" name="SE1Checkbox">
              <controlPr defaultSize="0" autoFill="0" autoLine="0" autoPict="0" macro="[0]!SE1_Distr">
                <anchor moveWithCells="1">
                  <from>
                    <xdr:col>4</xdr:col>
                    <xdr:colOff>19050</xdr:colOff>
                    <xdr:row>25</xdr:row>
                    <xdr:rowOff>19050</xdr:rowOff>
                  </from>
                  <to>
                    <xdr:col>5</xdr:col>
                    <xdr:colOff>104775</xdr:colOff>
                    <xdr:row>26</xdr:row>
                    <xdr:rowOff>0</xdr:rowOff>
                  </to>
                </anchor>
              </controlPr>
            </control>
          </mc:Choice>
        </mc:AlternateContent>
        <mc:AlternateContent xmlns:mc="http://schemas.openxmlformats.org/markup-compatibility/2006">
          <mc:Choice Requires="x14">
            <control shapeId="26628" r:id="rId7" name="SE1AdjCheckbox">
              <controlPr defaultSize="0" autoFill="0" autoLine="0" autoPict="0" macro="[0]!SE1Adj_Distr">
                <anchor moveWithCells="1">
                  <from>
                    <xdr:col>4</xdr:col>
                    <xdr:colOff>19050</xdr:colOff>
                    <xdr:row>27</xdr:row>
                    <xdr:rowOff>19050</xdr:rowOff>
                  </from>
                  <to>
                    <xdr:col>5</xdr:col>
                    <xdr:colOff>104775</xdr:colOff>
                    <xdr:row>27</xdr:row>
                    <xdr:rowOff>228600</xdr:rowOff>
                  </to>
                </anchor>
              </controlPr>
            </control>
          </mc:Choice>
        </mc:AlternateContent>
        <mc:AlternateContent xmlns:mc="http://schemas.openxmlformats.org/markup-compatibility/2006">
          <mc:Choice Requires="x14">
            <control shapeId="26629" r:id="rId8" name="SE2Checkbox">
              <controlPr defaultSize="0" autoFill="0" autoLine="0" autoPict="0" macro="[0]!SE2Checkbox_Click">
                <anchor moveWithCells="1">
                  <from>
                    <xdr:col>4</xdr:col>
                    <xdr:colOff>19050</xdr:colOff>
                    <xdr:row>57</xdr:row>
                    <xdr:rowOff>19050</xdr:rowOff>
                  </from>
                  <to>
                    <xdr:col>5</xdr:col>
                    <xdr:colOff>104775</xdr:colOff>
                    <xdr:row>58</xdr:row>
                    <xdr:rowOff>19050</xdr:rowOff>
                  </to>
                </anchor>
              </controlPr>
            </control>
          </mc:Choice>
        </mc:AlternateContent>
        <mc:AlternateContent xmlns:mc="http://schemas.openxmlformats.org/markup-compatibility/2006">
          <mc:Choice Requires="x14">
            <control shapeId="26630" r:id="rId9" name="SE2AdjCheckbox">
              <controlPr defaultSize="0" autoFill="0" autoLine="0" autoPict="0" macro="[0]!SE2AdjCheckbox_Click">
                <anchor moveWithCells="1">
                  <from>
                    <xdr:col>4</xdr:col>
                    <xdr:colOff>19050</xdr:colOff>
                    <xdr:row>59</xdr:row>
                    <xdr:rowOff>19050</xdr:rowOff>
                  </from>
                  <to>
                    <xdr:col>5</xdr:col>
                    <xdr:colOff>104775</xdr:colOff>
                    <xdr:row>60</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75738-BD41-49EB-8182-AAC06D1CE4BA}">
  <sheetPr codeName="Sheet18"/>
  <dimension ref="B1:AW98"/>
  <sheetViews>
    <sheetView showGridLines="0" zoomScale="106" zoomScaleNormal="106" workbookViewId="0">
      <selection activeCell="F8" sqref="F8"/>
    </sheetView>
  </sheetViews>
  <sheetFormatPr defaultColWidth="12.7109375" defaultRowHeight="12.75"/>
  <cols>
    <col min="1" max="1" width="3.7109375" style="105" customWidth="1"/>
    <col min="2" max="2" width="2.28515625" style="105" customWidth="1"/>
    <col min="3" max="3" width="36" style="105" customWidth="1"/>
    <col min="4" max="4" width="13.28515625" style="105" customWidth="1"/>
    <col min="5" max="5" width="3.28515625" style="105" customWidth="1"/>
    <col min="6" max="6" width="13.42578125" style="105" customWidth="1"/>
    <col min="7" max="7" width="2.28515625" style="105" customWidth="1"/>
    <col min="8" max="8" width="12.7109375" style="105" customWidth="1"/>
    <col min="9" max="9" width="2.7109375" style="105" customWidth="1"/>
    <col min="10" max="10" width="13.28515625" style="105" customWidth="1"/>
    <col min="11" max="11" width="17.28515625" style="105" customWidth="1"/>
    <col min="12" max="12" width="2" style="105" customWidth="1"/>
    <col min="13" max="16" width="10.7109375" style="401" hidden="1" customWidth="1"/>
    <col min="17" max="19" width="12.7109375" style="105" hidden="1" customWidth="1"/>
    <col min="20" max="16384" width="12.7109375" style="105"/>
  </cols>
  <sheetData>
    <row r="1" spans="2:17" s="401" customFormat="1" ht="13.5" thickBot="1">
      <c r="B1" s="105"/>
      <c r="C1" s="105"/>
      <c r="D1" s="105"/>
      <c r="E1" s="105"/>
      <c r="F1" s="105"/>
      <c r="G1" s="105"/>
      <c r="H1" s="105"/>
      <c r="I1" s="105"/>
      <c r="J1" s="105"/>
      <c r="K1" s="105"/>
      <c r="L1" s="105"/>
    </row>
    <row r="2" spans="2:17" s="401" customFormat="1" ht="6" customHeight="1">
      <c r="B2" s="728"/>
      <c r="C2" s="729"/>
      <c r="D2" s="730"/>
      <c r="E2" s="730"/>
      <c r="F2" s="731"/>
      <c r="G2" s="730"/>
      <c r="H2" s="730"/>
      <c r="I2" s="730"/>
      <c r="J2" s="730"/>
      <c r="K2" s="730"/>
      <c r="L2" s="732"/>
    </row>
    <row r="3" spans="2:17" s="401" customFormat="1" ht="22.5" customHeight="1">
      <c r="B3" s="804"/>
      <c r="C3" s="805"/>
      <c r="D3" s="733"/>
      <c r="E3" s="733"/>
      <c r="F3" s="733"/>
      <c r="G3" s="733"/>
      <c r="H3" s="733"/>
      <c r="I3" s="733"/>
      <c r="J3" s="733"/>
      <c r="K3" s="733"/>
      <c r="L3" s="734"/>
    </row>
    <row r="4" spans="2:17" s="401" customFormat="1" ht="21" customHeight="1" thickBot="1">
      <c r="B4" s="735"/>
      <c r="C4" s="736" t="s">
        <v>888</v>
      </c>
      <c r="D4" s="806"/>
      <c r="E4" s="807"/>
      <c r="F4" s="807"/>
      <c r="G4" s="737"/>
      <c r="H4" s="738"/>
      <c r="I4" s="739"/>
      <c r="J4" s="739"/>
      <c r="K4" s="739"/>
      <c r="L4" s="740"/>
    </row>
    <row r="5" spans="2:17" s="401" customFormat="1" ht="15" customHeight="1">
      <c r="B5" s="440"/>
      <c r="C5" s="407" t="s">
        <v>887</v>
      </c>
      <c r="D5" s="406"/>
      <c r="E5" s="406"/>
      <c r="F5" s="406"/>
      <c r="G5" s="406"/>
      <c r="H5" s="406"/>
      <c r="I5" s="406"/>
      <c r="J5" s="406"/>
      <c r="K5" s="406"/>
      <c r="L5" s="441"/>
    </row>
    <row r="6" spans="2:17" s="401" customFormat="1" ht="5.25" hidden="1" customHeight="1">
      <c r="B6" s="442"/>
      <c r="C6" s="443"/>
      <c r="D6" s="444"/>
      <c r="E6" s="444"/>
      <c r="F6" s="444"/>
      <c r="G6" s="444"/>
      <c r="H6" s="444"/>
      <c r="I6" s="444"/>
      <c r="J6" s="445"/>
      <c r="K6" s="445"/>
      <c r="L6" s="446"/>
    </row>
    <row r="7" spans="2:17" s="401" customFormat="1" ht="13.5" customHeight="1">
      <c r="B7" s="624"/>
      <c r="C7" s="625"/>
      <c r="D7" s="626" t="s">
        <v>884</v>
      </c>
      <c r="E7" s="626"/>
      <c r="F7" s="626" t="s">
        <v>883</v>
      </c>
      <c r="G7" s="627"/>
      <c r="H7" s="628" t="s">
        <v>882</v>
      </c>
      <c r="I7" s="625"/>
      <c r="J7" s="625"/>
      <c r="K7" s="625"/>
      <c r="L7" s="629"/>
    </row>
    <row r="8" spans="2:17" s="401" customFormat="1" ht="15.75" customHeight="1">
      <c r="B8" s="630"/>
      <c r="C8" s="631" t="s">
        <v>881</v>
      </c>
      <c r="D8" s="632"/>
      <c r="E8" s="633"/>
      <c r="F8" s="632"/>
      <c r="G8" s="634"/>
      <c r="H8" s="808" t="str">
        <f>IF(OR(TaxYearPrevSME=0,TaxYearCurSME=0),IF(D24&lt;F24,"Please explain lower current year net income:",IF(D24&gt;F24*1.2,"Please explain &gt; 20% increase in net income:","")),IF(ISERROR(VALUE(D8)&lt;&gt;VALUE(F8)+1),IF(D24&lt;F24,"Please explain lower current year net income:",IF(D24&gt;F24*1.2,"Please explain &gt; 20% increase in net income:","")),IF(VALUE(D8)&lt;&gt;VALUE(F8)+1,"Error - Tax years not in consecutive order",IF(D24&lt;F24,"Please explain lower current year net income:",IF(D24&gt;F24*1.2,"Please explain &gt; 20% increase in net income:","")))))</f>
        <v/>
      </c>
      <c r="I8" s="809"/>
      <c r="J8" s="809"/>
      <c r="K8" s="810"/>
      <c r="L8" s="635"/>
    </row>
    <row r="9" spans="2:17" s="401" customFormat="1" ht="3" customHeight="1">
      <c r="B9" s="630"/>
      <c r="C9" s="636"/>
      <c r="D9" s="637"/>
      <c r="E9" s="637"/>
      <c r="F9" s="637"/>
      <c r="G9" s="636"/>
      <c r="H9" s="638"/>
      <c r="I9" s="639"/>
      <c r="J9" s="639"/>
      <c r="K9" s="640"/>
      <c r="L9" s="635"/>
    </row>
    <row r="10" spans="2:17" s="401" customFormat="1" ht="15.75" customHeight="1">
      <c r="B10" s="641"/>
      <c r="C10" s="642" t="s">
        <v>880</v>
      </c>
      <c r="D10" s="643"/>
      <c r="E10" s="633"/>
      <c r="F10" s="643"/>
      <c r="G10" s="634"/>
      <c r="H10" s="812" t="str">
        <f>IF(AND(ProfitCurSME&lt;&gt;"",ProfitPrevSME&lt;&gt;""),"",IF(OR(ProfitCurSME&lt;&gt;"",ProfitPrevSME&lt;&gt;""),"Please explain only one year income is being used: ",""))</f>
        <v/>
      </c>
      <c r="I10" s="813"/>
      <c r="J10" s="813"/>
      <c r="K10" s="814"/>
      <c r="L10" s="635"/>
    </row>
    <row r="11" spans="2:17" s="401" customFormat="1" ht="15.75" customHeight="1">
      <c r="B11" s="641"/>
      <c r="C11" s="644" t="s">
        <v>879</v>
      </c>
      <c r="D11" s="645"/>
      <c r="E11" s="633"/>
      <c r="F11" s="645"/>
      <c r="G11" s="634"/>
      <c r="H11" s="815"/>
      <c r="I11" s="816"/>
      <c r="J11" s="816"/>
      <c r="K11" s="817"/>
      <c r="L11" s="635"/>
    </row>
    <row r="12" spans="2:17" s="401" customFormat="1" ht="3.75" customHeight="1">
      <c r="B12" s="641"/>
      <c r="C12" s="644"/>
      <c r="D12" s="644"/>
      <c r="E12" s="644"/>
      <c r="F12" s="644"/>
      <c r="G12" s="634"/>
      <c r="H12" s="815"/>
      <c r="I12" s="816"/>
      <c r="J12" s="816"/>
      <c r="K12" s="817"/>
      <c r="L12" s="635"/>
    </row>
    <row r="13" spans="2:17" s="401" customFormat="1" ht="15.75" customHeight="1" thickBot="1">
      <c r="B13" s="641"/>
      <c r="C13" s="646" t="s">
        <v>878</v>
      </c>
      <c r="D13" s="647">
        <f>ProfitCurSME-NonRecIncCurSME</f>
        <v>0</v>
      </c>
      <c r="E13" s="648"/>
      <c r="F13" s="647">
        <f>ProfitPrevSME-NonRecIncPrevSME</f>
        <v>0</v>
      </c>
      <c r="G13" s="649"/>
      <c r="H13" s="815"/>
      <c r="I13" s="816"/>
      <c r="J13" s="816"/>
      <c r="K13" s="817"/>
      <c r="L13" s="635"/>
    </row>
    <row r="14" spans="2:17" s="401" customFormat="1" ht="9.75" customHeight="1" thickTop="1">
      <c r="B14" s="641"/>
      <c r="C14" s="642" t="s">
        <v>877</v>
      </c>
      <c r="D14" s="633"/>
      <c r="E14" s="633"/>
      <c r="F14" s="633"/>
      <c r="G14" s="634"/>
      <c r="H14" s="815"/>
      <c r="I14" s="816"/>
      <c r="J14" s="816"/>
      <c r="K14" s="817"/>
      <c r="L14" s="635"/>
    </row>
    <row r="15" spans="2:17" s="401" customFormat="1" ht="15.75" customHeight="1">
      <c r="B15" s="641"/>
      <c r="C15" s="633" t="s">
        <v>876</v>
      </c>
      <c r="D15" s="645"/>
      <c r="E15" s="633"/>
      <c r="F15" s="645"/>
      <c r="G15" s="634"/>
      <c r="H15" s="815"/>
      <c r="I15" s="816"/>
      <c r="J15" s="816"/>
      <c r="K15" s="817"/>
      <c r="L15" s="635"/>
      <c r="N15" s="401" t="s">
        <v>917</v>
      </c>
    </row>
    <row r="16" spans="2:17" s="401" customFormat="1" ht="15.75" customHeight="1">
      <c r="B16" s="641"/>
      <c r="C16" s="633" t="s">
        <v>875</v>
      </c>
      <c r="D16" s="645"/>
      <c r="E16" s="633"/>
      <c r="F16" s="645"/>
      <c r="G16" s="634"/>
      <c r="H16" s="815"/>
      <c r="I16" s="816"/>
      <c r="J16" s="816"/>
      <c r="K16" s="817"/>
      <c r="L16" s="635"/>
      <c r="N16" s="401" t="str">
        <f>IFERROR(IF(SE1TestSME=1,_SE1depSME,IF(SE1TestSME=2,_SE1depadjSME,0)),"")</f>
        <v/>
      </c>
      <c r="O16" s="401" t="str">
        <f>IF(AND(ProfitCurSME&lt;&gt;"",ProfitPrevSME&lt;&gt;""),(D16+F16)/2,IF(OR(ProfitCurSME&lt;&gt;"",ProfitPrevSME&lt;&gt;""),MAX(D16,F16),""))</f>
        <v/>
      </c>
      <c r="Q16" s="401">
        <f>Bus1App1IncSME</f>
        <v>0</v>
      </c>
    </row>
    <row r="17" spans="2:17" ht="15.75" customHeight="1">
      <c r="B17" s="641"/>
      <c r="C17" s="633" t="s">
        <v>874</v>
      </c>
      <c r="D17" s="650"/>
      <c r="E17" s="633"/>
      <c r="F17" s="650"/>
      <c r="G17" s="634"/>
      <c r="H17" s="815"/>
      <c r="I17" s="816"/>
      <c r="J17" s="816"/>
      <c r="K17" s="817"/>
      <c r="L17" s="635"/>
      <c r="O17" s="401" t="str">
        <f>IF(AND(ProfitCurSME&lt;&gt;"",ProfitPrevSME&lt;&gt;""),IF(D16&lt;F16,MIN(D16,O16),MIN(O16,F16+ABS(F16*0.2))),IF(OR(ProfitCurSME&lt;&gt;"",ProfitPrevSME&lt;&gt;""),MAX(D16,F16),""))</f>
        <v/>
      </c>
      <c r="Q17" s="105">
        <f>Bus1App2IncSME</f>
        <v>0</v>
      </c>
    </row>
    <row r="18" spans="2:17" ht="15.75" customHeight="1">
      <c r="B18" s="641"/>
      <c r="C18" s="633" t="s">
        <v>873</v>
      </c>
      <c r="D18" s="650"/>
      <c r="E18" s="633"/>
      <c r="F18" s="650"/>
      <c r="G18" s="634"/>
      <c r="H18" s="815"/>
      <c r="I18" s="816"/>
      <c r="J18" s="816"/>
      <c r="K18" s="817"/>
      <c r="L18" s="635"/>
      <c r="Q18" s="105">
        <f>Bus1App3IncSME</f>
        <v>0</v>
      </c>
    </row>
    <row r="19" spans="2:17" ht="15.75" customHeight="1">
      <c r="B19" s="641"/>
      <c r="C19" s="633" t="s">
        <v>872</v>
      </c>
      <c r="D19" s="650"/>
      <c r="E19" s="633"/>
      <c r="F19" s="650"/>
      <c r="G19" s="634"/>
      <c r="H19" s="815"/>
      <c r="I19" s="816"/>
      <c r="J19" s="816"/>
      <c r="K19" s="817"/>
      <c r="L19" s="635"/>
      <c r="Q19" s="105">
        <f>Bus1App4IncSME</f>
        <v>0</v>
      </c>
    </row>
    <row r="20" spans="2:17" ht="15.75" customHeight="1">
      <c r="B20" s="641"/>
      <c r="C20" s="633" t="s">
        <v>871</v>
      </c>
      <c r="D20" s="650"/>
      <c r="E20" s="633"/>
      <c r="F20" s="650"/>
      <c r="G20" s="634"/>
      <c r="H20" s="815"/>
      <c r="I20" s="816"/>
      <c r="J20" s="816"/>
      <c r="K20" s="817"/>
      <c r="L20" s="635"/>
    </row>
    <row r="21" spans="2:17" ht="4.5" customHeight="1">
      <c r="B21" s="641"/>
      <c r="C21" s="633"/>
      <c r="D21" s="633"/>
      <c r="E21" s="633"/>
      <c r="F21" s="633"/>
      <c r="G21" s="651"/>
      <c r="H21" s="815"/>
      <c r="I21" s="816"/>
      <c r="J21" s="816"/>
      <c r="K21" s="817"/>
      <c r="L21" s="635"/>
    </row>
    <row r="22" spans="2:17" ht="15.75" customHeight="1" thickBot="1">
      <c r="B22" s="641"/>
      <c r="C22" s="642" t="s">
        <v>870</v>
      </c>
      <c r="D22" s="647">
        <f>D15+D17+D18+D19+D20</f>
        <v>0</v>
      </c>
      <c r="E22" s="652"/>
      <c r="F22" s="647">
        <f>F15+F17+F18+F19+F20</f>
        <v>0</v>
      </c>
      <c r="G22" s="634"/>
      <c r="H22" s="818"/>
      <c r="I22" s="819"/>
      <c r="J22" s="819"/>
      <c r="K22" s="820"/>
      <c r="L22" s="635"/>
    </row>
    <row r="23" spans="2:17" ht="7.5" customHeight="1" thickTop="1">
      <c r="B23" s="641"/>
      <c r="C23" s="625"/>
      <c r="D23" s="652"/>
      <c r="E23" s="652"/>
      <c r="F23" s="652"/>
      <c r="G23" s="634"/>
      <c r="H23" s="653"/>
      <c r="I23" s="654"/>
      <c r="J23" s="655"/>
      <c r="K23" s="655"/>
      <c r="L23" s="635"/>
    </row>
    <row r="24" spans="2:17" ht="16.5" customHeight="1">
      <c r="B24" s="641"/>
      <c r="C24" s="642" t="s">
        <v>869</v>
      </c>
      <c r="D24" s="656">
        <f>D13+D22</f>
        <v>0</v>
      </c>
      <c r="E24" s="652"/>
      <c r="F24" s="656">
        <f>F13+F22</f>
        <v>0</v>
      </c>
      <c r="G24" s="634"/>
      <c r="H24" s="625"/>
      <c r="I24" s="657"/>
      <c r="J24" s="625"/>
      <c r="K24" s="625"/>
      <c r="L24" s="635"/>
      <c r="M24" s="404">
        <v>2</v>
      </c>
    </row>
    <row r="25" spans="2:17" ht="5.25" customHeight="1">
      <c r="B25" s="641"/>
      <c r="C25" s="642"/>
      <c r="D25" s="625"/>
      <c r="E25" s="658"/>
      <c r="F25" s="659"/>
      <c r="G25" s="660"/>
      <c r="H25" s="659"/>
      <c r="I25" s="657"/>
      <c r="J25" s="625"/>
      <c r="K25" s="625"/>
      <c r="L25" s="635"/>
    </row>
    <row r="26" spans="2:17" ht="18" customHeight="1">
      <c r="B26" s="641"/>
      <c r="C26" s="633" t="s">
        <v>868</v>
      </c>
      <c r="D26" s="625"/>
      <c r="E26" s="658"/>
      <c r="F26" s="656">
        <f>IF(AND(ProfitCurSME&lt;&gt;"",ProfitPrevSME&lt;&gt;""),(F24+D24)/2,IF(OR(ProfitCurSME&lt;&gt;"",ProfitPrevSME&lt;&gt;""),MAX(D24,F24),0))</f>
        <v>0</v>
      </c>
      <c r="G26" s="661"/>
      <c r="H26" s="811" t="str">
        <f>IF(AND(SE1netAvSME&gt;0,SE1netAvSME&gt;SE1netAvAdjSME,SE1TestSME=1),"This amount can only be considered on an exception basis","")</f>
        <v/>
      </c>
      <c r="I26" s="811"/>
      <c r="J26" s="811"/>
      <c r="K26" s="811"/>
      <c r="L26" s="635"/>
    </row>
    <row r="27" spans="2:17" ht="6" customHeight="1">
      <c r="B27" s="641"/>
      <c r="C27" s="662"/>
      <c r="D27" s="663"/>
      <c r="E27" s="658"/>
      <c r="F27" s="664"/>
      <c r="G27" s="663"/>
      <c r="H27" s="659"/>
      <c r="I27" s="657"/>
      <c r="J27" s="663"/>
      <c r="K27" s="663"/>
      <c r="L27" s="635"/>
    </row>
    <row r="28" spans="2:17" ht="18.75" customHeight="1">
      <c r="B28" s="641"/>
      <c r="C28" s="642" t="s">
        <v>867</v>
      </c>
      <c r="D28" s="625"/>
      <c r="E28" s="662"/>
      <c r="F28" s="656">
        <f>IF(AND(ProfitCurSME&lt;&gt;"",ProfitPrevSME&lt;&gt;""),IF(D24&lt;F24,MIN(D24,F26),MIN(F26,F24+ABS(F24*0.2))),IF(OR(ProfitCurSME&lt;&gt;"",ProfitPrevSME&lt;&gt;""),MAX(D24,F24),0))</f>
        <v>0</v>
      </c>
      <c r="G28" s="665"/>
      <c r="H28" s="821" t="s">
        <v>866</v>
      </c>
      <c r="I28" s="821"/>
      <c r="J28" s="821"/>
      <c r="K28" s="821"/>
      <c r="L28" s="635"/>
    </row>
    <row r="29" spans="2:17" ht="10.5" customHeight="1">
      <c r="B29" s="641"/>
      <c r="C29" s="822" t="s">
        <v>865</v>
      </c>
      <c r="D29" s="822"/>
      <c r="E29" s="666"/>
      <c r="F29" s="667"/>
      <c r="G29" s="668"/>
      <c r="H29" s="668"/>
      <c r="I29" s="668"/>
      <c r="J29" s="669"/>
      <c r="K29" s="669"/>
      <c r="L29" s="635"/>
    </row>
    <row r="30" spans="2:17" ht="7.5" customHeight="1">
      <c r="B30" s="641"/>
      <c r="C30" s="670"/>
      <c r="D30" s="666"/>
      <c r="E30" s="666"/>
      <c r="F30" s="670"/>
      <c r="G30" s="668"/>
      <c r="H30" s="668"/>
      <c r="I30" s="668"/>
      <c r="J30" s="669"/>
      <c r="K30" s="669"/>
      <c r="L30" s="635"/>
    </row>
    <row r="31" spans="2:17" ht="14.25" customHeight="1">
      <c r="B31" s="641"/>
      <c r="C31" s="666"/>
      <c r="D31" s="671" t="s">
        <v>92</v>
      </c>
      <c r="E31" s="671"/>
      <c r="F31" s="671" t="s">
        <v>90</v>
      </c>
      <c r="G31" s="672"/>
      <c r="H31" s="671" t="s">
        <v>89</v>
      </c>
      <c r="I31" s="672"/>
      <c r="J31" s="671" t="s">
        <v>88</v>
      </c>
      <c r="K31" s="671" t="s">
        <v>864</v>
      </c>
      <c r="L31" s="635"/>
    </row>
    <row r="32" spans="2:17" ht="16.5" customHeight="1">
      <c r="B32" s="641"/>
      <c r="C32" s="673" t="s">
        <v>863</v>
      </c>
      <c r="D32" s="674"/>
      <c r="E32" s="675"/>
      <c r="F32" s="674"/>
      <c r="G32" s="676"/>
      <c r="H32" s="674"/>
      <c r="I32" s="676"/>
      <c r="J32" s="674"/>
      <c r="K32" s="677" t="str">
        <f>IF(ROUND(D32+F32+H32+J32,3)&gt;100%,"Error - Total &gt;100%",TEXT(ROUND(D32+F32+H32+J32,3),"0.00%"))</f>
        <v>0.00%</v>
      </c>
      <c r="L32" s="678" t="str">
        <f>IF(ROUND(D32+F32+H32+J32,3)&gt;100%,K32,"")</f>
        <v/>
      </c>
      <c r="M32" s="403">
        <f>ROUND(MAX(1-Bus1_App2DistrSME-Bus1_App3DistrSME-Bus1_App4DistrSME,0),8)</f>
        <v>1</v>
      </c>
      <c r="N32" s="403">
        <f>ROUND(MAX(1-Bus1_App1DistrSME-Bus1_App3DistrSME-Bus1_App4DistrSME,0),8)</f>
        <v>1</v>
      </c>
      <c r="O32" s="403">
        <f>ROUND(MAX(1-Bus1_App2DistrSME-Bus1_App1DistrSME-Bus1_App4DistrSME,0),8)</f>
        <v>1</v>
      </c>
      <c r="P32" s="403">
        <f>ROUND(1-Bus1_App2DistrSME-Bus1_App3DistrSME-Bus1_App1DistrSME,8)</f>
        <v>1</v>
      </c>
    </row>
    <row r="33" spans="2:17" ht="3.75" customHeight="1">
      <c r="B33" s="641"/>
      <c r="C33" s="673"/>
      <c r="D33" s="679"/>
      <c r="E33" s="679"/>
      <c r="F33" s="679"/>
      <c r="G33" s="679"/>
      <c r="H33" s="679"/>
      <c r="I33" s="679"/>
      <c r="J33" s="679"/>
      <c r="K33" s="680"/>
      <c r="L33" s="678"/>
    </row>
    <row r="34" spans="2:17" ht="16.5" customHeight="1">
      <c r="B34" s="641"/>
      <c r="C34" s="681" t="s">
        <v>886</v>
      </c>
      <c r="D34" s="656">
        <f>IFERROR(IF(SE1TestSME=1,Bus1_App1DistrSME*SE1netAvSME,IF(SE1TestSME=2,Bus1_App1DistrSME*SE1netAvAdjSME,0)),"")</f>
        <v>0</v>
      </c>
      <c r="E34" s="667"/>
      <c r="F34" s="656">
        <f>IFERROR(IF(SE1TestSME=1,Bus1_App2DistrSME*SE1netAvSME,IF(SE1TestSME=2,Bus1_App2DistrSME*SE1netAvAdjSME,0)),"")</f>
        <v>0</v>
      </c>
      <c r="G34" s="682"/>
      <c r="H34" s="656">
        <f>IFERROR(IF(SE1TestSME=1,Bus1_App3DistrSME*SE1netAvSME,IF(SE1TestSME=2,Bus1_App3DistrSME*SE1netAvAdjSME,0)),"")</f>
        <v>0</v>
      </c>
      <c r="I34" s="682"/>
      <c r="J34" s="656">
        <f>IFERROR(IF(SE1TestSME=1,Bus1_App4DistrSME*SE1netAvSME,IF(SE1TestSME=2,Bus1_App4DistrSME*SE1netAvAdjSME,0)),"")</f>
        <v>0</v>
      </c>
      <c r="K34" s="669"/>
      <c r="L34" s="635"/>
      <c r="P34" s="405"/>
    </row>
    <row r="35" spans="2:17" ht="7.5" customHeight="1">
      <c r="B35" s="641"/>
      <c r="C35" s="666"/>
      <c r="D35" s="666"/>
      <c r="E35" s="666"/>
      <c r="F35" s="666"/>
      <c r="G35" s="668"/>
      <c r="H35" s="668"/>
      <c r="I35" s="668"/>
      <c r="J35" s="669"/>
      <c r="K35" s="669"/>
      <c r="L35" s="635"/>
    </row>
    <row r="36" spans="2:17" ht="17.25" hidden="1" customHeight="1">
      <c r="B36" s="447"/>
      <c r="C36" s="435" t="s">
        <v>918</v>
      </c>
      <c r="D36" s="435">
        <f>IF('Self Employed Calculator (SME)'!$N$16="",0,'Self Employed Calculator (SME)'!$N$16)*Bus1_App1DistrSME</f>
        <v>0</v>
      </c>
      <c r="E36" s="435"/>
      <c r="F36" s="435">
        <f>IF('Self Employed Calculator (SME)'!$N$16="",0,'Self Employed Calculator (SME)'!$N$16)*Bus1_App2DistrSME</f>
        <v>0</v>
      </c>
      <c r="G36" s="435"/>
      <c r="H36" s="435">
        <f>IF('Self Employed Calculator (SME)'!$N$16="",0,'Self Employed Calculator (SME)'!$N$16)*Bus1_App3DistrSME</f>
        <v>0</v>
      </c>
      <c r="I36" s="435"/>
      <c r="J36" s="435">
        <f>IF('Self Employed Calculator (SME)'!$N$16="",0,'Self Employed Calculator (SME)'!$N$16)*Bus1_App4DistrSME</f>
        <v>0</v>
      </c>
      <c r="K36" s="435"/>
      <c r="L36" s="448"/>
    </row>
    <row r="37" spans="2:17" ht="16.5" customHeight="1">
      <c r="B37" s="449"/>
      <c r="C37" s="450" t="s">
        <v>885</v>
      </c>
      <c r="D37" s="451"/>
      <c r="E37" s="451"/>
      <c r="F37" s="451"/>
      <c r="G37" s="451"/>
      <c r="H37" s="451"/>
      <c r="I37" s="451"/>
      <c r="J37" s="452"/>
      <c r="K37" s="452"/>
      <c r="L37" s="453"/>
    </row>
    <row r="38" spans="2:17" ht="5.25" hidden="1" customHeight="1">
      <c r="B38" s="442"/>
      <c r="C38" s="443"/>
      <c r="D38" s="444"/>
      <c r="E38" s="444"/>
      <c r="F38" s="444"/>
      <c r="G38" s="444"/>
      <c r="H38" s="444"/>
      <c r="I38" s="444"/>
      <c r="J38" s="445"/>
      <c r="K38" s="445"/>
      <c r="L38" s="446"/>
    </row>
    <row r="39" spans="2:17" ht="14.25" customHeight="1">
      <c r="B39" s="624"/>
      <c r="C39" s="625"/>
      <c r="D39" s="626" t="s">
        <v>884</v>
      </c>
      <c r="E39" s="626"/>
      <c r="F39" s="626" t="s">
        <v>883</v>
      </c>
      <c r="G39" s="627"/>
      <c r="H39" s="628" t="s">
        <v>882</v>
      </c>
      <c r="I39" s="625"/>
      <c r="J39" s="625"/>
      <c r="K39" s="625"/>
      <c r="L39" s="629"/>
    </row>
    <row r="40" spans="2:17" ht="15.75" customHeight="1">
      <c r="B40" s="630"/>
      <c r="C40" s="631" t="s">
        <v>881</v>
      </c>
      <c r="D40" s="632"/>
      <c r="E40" s="633"/>
      <c r="F40" s="632"/>
      <c r="G40" s="634"/>
      <c r="H40" s="823" t="str">
        <f>IF(OR(TaxYearPrev2SME=0,TaxYearCur2SME=0),IF(D56&lt;F56,"Please explain lower current year net income:",IF(D56&gt;F56*1.2,"Please explain &gt; 20% increase in net income:","")),IF(ISERROR(VALUE(D40)&lt;&gt;VALUE(F40)+1),IF(D56&lt;F56,"Please explain lower current year net income:",IF(D56&gt;F56*1.2,"Please explain &gt; 20% increase in net income:","")),IF(VALUE(D40)&lt;&gt;VALUE(F40)+1,"Error - Tax years not in consecutive order",IF(D56&lt;F56,"Please explain lower current year net income:",IF(D56&gt;F56*1.2,"Please explain &gt; 20% increase in net income:","")))))</f>
        <v/>
      </c>
      <c r="I40" s="824"/>
      <c r="J40" s="824"/>
      <c r="K40" s="825"/>
      <c r="L40" s="635"/>
    </row>
    <row r="41" spans="2:17" ht="3" customHeight="1">
      <c r="B41" s="630"/>
      <c r="C41" s="636"/>
      <c r="D41" s="637"/>
      <c r="E41" s="637"/>
      <c r="F41" s="637"/>
      <c r="G41" s="636"/>
      <c r="H41" s="638"/>
      <c r="I41" s="639"/>
      <c r="J41" s="639"/>
      <c r="K41" s="640"/>
      <c r="L41" s="635"/>
    </row>
    <row r="42" spans="2:17" ht="15.75" customHeight="1">
      <c r="B42" s="641"/>
      <c r="C42" s="642" t="s">
        <v>880</v>
      </c>
      <c r="D42" s="643"/>
      <c r="E42" s="633"/>
      <c r="F42" s="643"/>
      <c r="G42" s="634"/>
      <c r="H42" s="812" t="str">
        <f>IF(AND(ProfitCur2SME&lt;&gt;"",ProfitPrev2SME&lt;&gt;""),"",IF(OR(ProfitCur2SME&lt;&gt;"",ProfitPrev2SME&lt;&gt;""),"Please explain only one year income is being used: ",""))</f>
        <v/>
      </c>
      <c r="I42" s="813"/>
      <c r="J42" s="813"/>
      <c r="K42" s="814"/>
      <c r="L42" s="635"/>
    </row>
    <row r="43" spans="2:17" ht="15.75" customHeight="1">
      <c r="B43" s="641"/>
      <c r="C43" s="644" t="s">
        <v>879</v>
      </c>
      <c r="D43" s="645"/>
      <c r="E43" s="633"/>
      <c r="F43" s="645"/>
      <c r="G43" s="634"/>
      <c r="H43" s="815"/>
      <c r="I43" s="816"/>
      <c r="J43" s="816"/>
      <c r="K43" s="817"/>
      <c r="L43" s="635"/>
    </row>
    <row r="44" spans="2:17" ht="3.75" customHeight="1">
      <c r="B44" s="641"/>
      <c r="C44" s="644"/>
      <c r="D44" s="644"/>
      <c r="E44" s="644"/>
      <c r="F44" s="644"/>
      <c r="G44" s="634"/>
      <c r="H44" s="815"/>
      <c r="I44" s="816"/>
      <c r="J44" s="816"/>
      <c r="K44" s="817"/>
      <c r="L44" s="635"/>
    </row>
    <row r="45" spans="2:17" ht="15.75" customHeight="1" thickBot="1">
      <c r="B45" s="641"/>
      <c r="C45" s="646" t="s">
        <v>878</v>
      </c>
      <c r="D45" s="647">
        <f>ProfitCur2SME-NonRecIncCur2SME</f>
        <v>0</v>
      </c>
      <c r="E45" s="648"/>
      <c r="F45" s="647">
        <f>ProfitPrev2SME-NonRecIncPrev2SME</f>
        <v>0</v>
      </c>
      <c r="G45" s="649"/>
      <c r="H45" s="815"/>
      <c r="I45" s="816"/>
      <c r="J45" s="816"/>
      <c r="K45" s="817"/>
      <c r="L45" s="635"/>
    </row>
    <row r="46" spans="2:17" ht="10.5" customHeight="1" thickTop="1">
      <c r="B46" s="641"/>
      <c r="C46" s="642" t="s">
        <v>877</v>
      </c>
      <c r="D46" s="633"/>
      <c r="E46" s="633"/>
      <c r="F46" s="633"/>
      <c r="G46" s="634"/>
      <c r="H46" s="815"/>
      <c r="I46" s="816"/>
      <c r="J46" s="816"/>
      <c r="K46" s="817"/>
      <c r="L46" s="635"/>
    </row>
    <row r="47" spans="2:17" ht="15.75" customHeight="1">
      <c r="B47" s="641"/>
      <c r="C47" s="633" t="s">
        <v>876</v>
      </c>
      <c r="D47" s="645"/>
      <c r="E47" s="633"/>
      <c r="F47" s="645"/>
      <c r="G47" s="634"/>
      <c r="H47" s="815"/>
      <c r="I47" s="816"/>
      <c r="J47" s="816"/>
      <c r="K47" s="817"/>
      <c r="L47" s="635"/>
      <c r="N47" s="401" t="s">
        <v>917</v>
      </c>
    </row>
    <row r="48" spans="2:17" ht="15.75" customHeight="1">
      <c r="B48" s="641"/>
      <c r="C48" s="633" t="s">
        <v>875</v>
      </c>
      <c r="D48" s="645"/>
      <c r="E48" s="633"/>
      <c r="F48" s="645"/>
      <c r="G48" s="634"/>
      <c r="H48" s="815"/>
      <c r="I48" s="816"/>
      <c r="J48" s="816"/>
      <c r="K48" s="817"/>
      <c r="L48" s="635"/>
      <c r="N48" s="401" t="str">
        <f>IFERROR(IF(SE2TestSME=1,_SE2depSME,IF(SE2TestSME=2,_SE2depadjSME,0)),"")</f>
        <v/>
      </c>
      <c r="O48" s="401" t="str">
        <f>IF(AND(ProfitCur2SME&lt;&gt;"",ProfitPrev2SME&lt;&gt;""),(D48+F48)/2,IF(OR(ProfitCur2SME&lt;&gt;"",ProfitPrev2SME&lt;&gt;""),MAX(D48,F48),""))</f>
        <v/>
      </c>
      <c r="Q48" s="105">
        <f>Bus2App1IncSME</f>
        <v>0</v>
      </c>
    </row>
    <row r="49" spans="2:17" ht="15.75" customHeight="1">
      <c r="B49" s="641"/>
      <c r="C49" s="633" t="s">
        <v>874</v>
      </c>
      <c r="D49" s="645"/>
      <c r="E49" s="633"/>
      <c r="F49" s="645"/>
      <c r="G49" s="634"/>
      <c r="H49" s="815"/>
      <c r="I49" s="816"/>
      <c r="J49" s="816"/>
      <c r="K49" s="817"/>
      <c r="L49" s="635"/>
      <c r="O49" s="401" t="str">
        <f>IF(AND(ProfitCur2SME&lt;&gt;"",ProfitPrev2SME&lt;&gt;""),IF(D48&lt;F48,MIN(D48,O48),MIN(O48,F48+ABS(F48*0.2))),IF(OR(ProfitCur2SME&lt;&gt;"",ProfitPrev2SME&lt;&gt;""),MAX(D48,F48),""))</f>
        <v/>
      </c>
      <c r="Q49" s="105">
        <f>Bus2App2IncSME</f>
        <v>0</v>
      </c>
    </row>
    <row r="50" spans="2:17" ht="15.75" customHeight="1">
      <c r="B50" s="641"/>
      <c r="C50" s="633" t="s">
        <v>873</v>
      </c>
      <c r="D50" s="645"/>
      <c r="E50" s="633"/>
      <c r="F50" s="645"/>
      <c r="G50" s="634"/>
      <c r="H50" s="815"/>
      <c r="I50" s="816"/>
      <c r="J50" s="816"/>
      <c r="K50" s="817"/>
      <c r="L50" s="635"/>
      <c r="Q50" s="105">
        <f>Bus2App3IncSME</f>
        <v>0</v>
      </c>
    </row>
    <row r="51" spans="2:17" ht="15.75" customHeight="1">
      <c r="B51" s="641"/>
      <c r="C51" s="633" t="s">
        <v>872</v>
      </c>
      <c r="D51" s="645"/>
      <c r="E51" s="633"/>
      <c r="F51" s="645"/>
      <c r="G51" s="634"/>
      <c r="H51" s="815"/>
      <c r="I51" s="816"/>
      <c r="J51" s="816"/>
      <c r="K51" s="817"/>
      <c r="L51" s="635"/>
      <c r="Q51" s="105">
        <f>Bus2App4IncSME</f>
        <v>0</v>
      </c>
    </row>
    <row r="52" spans="2:17" ht="15.75" customHeight="1">
      <c r="B52" s="641"/>
      <c r="C52" s="633" t="s">
        <v>871</v>
      </c>
      <c r="D52" s="645"/>
      <c r="E52" s="633"/>
      <c r="F52" s="645"/>
      <c r="G52" s="634"/>
      <c r="H52" s="815"/>
      <c r="I52" s="816"/>
      <c r="J52" s="816"/>
      <c r="K52" s="817"/>
      <c r="L52" s="635"/>
    </row>
    <row r="53" spans="2:17" ht="4.5" customHeight="1">
      <c r="B53" s="641"/>
      <c r="C53" s="633"/>
      <c r="D53" s="633"/>
      <c r="E53" s="633"/>
      <c r="F53" s="633"/>
      <c r="G53" s="651"/>
      <c r="H53" s="815"/>
      <c r="I53" s="816"/>
      <c r="J53" s="816"/>
      <c r="K53" s="817"/>
      <c r="L53" s="635"/>
    </row>
    <row r="54" spans="2:17" ht="15.75" customHeight="1" thickBot="1">
      <c r="B54" s="641"/>
      <c r="C54" s="642" t="s">
        <v>870</v>
      </c>
      <c r="D54" s="647">
        <f>D47+D49+D50+D51+D52</f>
        <v>0</v>
      </c>
      <c r="E54" s="652"/>
      <c r="F54" s="647">
        <f>F47+F49+F50+F51+F52</f>
        <v>0</v>
      </c>
      <c r="G54" s="634"/>
      <c r="H54" s="818"/>
      <c r="I54" s="819"/>
      <c r="J54" s="819"/>
      <c r="K54" s="820"/>
      <c r="L54" s="635"/>
    </row>
    <row r="55" spans="2:17" ht="7.5" customHeight="1" thickTop="1">
      <c r="B55" s="641"/>
      <c r="C55" s="625"/>
      <c r="D55" s="652"/>
      <c r="E55" s="652"/>
      <c r="F55" s="652"/>
      <c r="G55" s="634"/>
      <c r="H55" s="653"/>
      <c r="I55" s="654"/>
      <c r="J55" s="655"/>
      <c r="K55" s="655"/>
      <c r="L55" s="635"/>
    </row>
    <row r="56" spans="2:17" ht="16.5" customHeight="1">
      <c r="B56" s="641"/>
      <c r="C56" s="642" t="s">
        <v>869</v>
      </c>
      <c r="D56" s="656">
        <f>D45+D54</f>
        <v>0</v>
      </c>
      <c r="E56" s="652"/>
      <c r="F56" s="656">
        <f>F45+F54</f>
        <v>0</v>
      </c>
      <c r="G56" s="634"/>
      <c r="H56" s="625"/>
      <c r="I56" s="657"/>
      <c r="J56" s="625"/>
      <c r="K56" s="625"/>
      <c r="L56" s="635"/>
      <c r="M56" s="404">
        <v>2</v>
      </c>
    </row>
    <row r="57" spans="2:17" ht="6" customHeight="1">
      <c r="B57" s="641"/>
      <c r="C57" s="642"/>
      <c r="D57" s="625"/>
      <c r="E57" s="658"/>
      <c r="F57" s="659"/>
      <c r="G57" s="660"/>
      <c r="H57" s="659"/>
      <c r="I57" s="657"/>
      <c r="J57" s="625"/>
      <c r="K57" s="625"/>
      <c r="L57" s="635"/>
    </row>
    <row r="58" spans="2:17" ht="16.5" customHeight="1">
      <c r="B58" s="641"/>
      <c r="C58" s="633" t="s">
        <v>868</v>
      </c>
      <c r="D58" s="625"/>
      <c r="E58" s="658"/>
      <c r="F58" s="656">
        <f>IF(AND(ProfitCur2SME&lt;&gt;"",ProfitPrev2SME&lt;&gt;""),(F56+D56)/2,IF(OR(ProfitCur2SME&lt;&gt;"",ProfitPrev2SME&lt;&gt;""),MAX(D56,F56),0))</f>
        <v>0</v>
      </c>
      <c r="G58" s="661"/>
      <c r="H58" s="811" t="str">
        <f>IF(AND(SE2netAvSME&gt;0,SE2netAvSME&gt;SE2netAvAdjSME,SE2TestSME=1),"This amount can only be considered on an exception basis","")</f>
        <v/>
      </c>
      <c r="I58" s="811"/>
      <c r="J58" s="811"/>
      <c r="K58" s="811"/>
      <c r="L58" s="635"/>
    </row>
    <row r="59" spans="2:17" ht="6" customHeight="1">
      <c r="B59" s="641"/>
      <c r="C59" s="662"/>
      <c r="D59" s="663"/>
      <c r="E59" s="658"/>
      <c r="F59" s="664"/>
      <c r="G59" s="663"/>
      <c r="H59" s="659"/>
      <c r="I59" s="657"/>
      <c r="J59" s="663"/>
      <c r="K59" s="663"/>
      <c r="L59" s="635"/>
    </row>
    <row r="60" spans="2:17" ht="17.25" customHeight="1">
      <c r="B60" s="641"/>
      <c r="C60" s="642" t="s">
        <v>867</v>
      </c>
      <c r="D60" s="625"/>
      <c r="E60" s="662"/>
      <c r="F60" s="656">
        <f>IF(AND(ProfitCur2SME&lt;&gt;"",ProfitPrev2SME&lt;&gt;""),IF(D56&lt;F56,MIN(D56,F58),MIN(F58,F56+ABS(F56*0.2))),IF(OR(ProfitCur2SME&lt;&gt;"",ProfitPrev2SME&lt;&gt;""),MAX(D56,F56),0))</f>
        <v>0</v>
      </c>
      <c r="G60" s="665"/>
      <c r="H60" s="821" t="s">
        <v>866</v>
      </c>
      <c r="I60" s="821"/>
      <c r="J60" s="821"/>
      <c r="K60" s="821"/>
      <c r="L60" s="635"/>
    </row>
    <row r="61" spans="2:17" ht="11.25" customHeight="1">
      <c r="B61" s="641"/>
      <c r="C61" s="822" t="s">
        <v>865</v>
      </c>
      <c r="D61" s="822"/>
      <c r="E61" s="666"/>
      <c r="F61" s="667"/>
      <c r="G61" s="668"/>
      <c r="H61" s="668"/>
      <c r="I61" s="668"/>
      <c r="J61" s="669"/>
      <c r="K61" s="669"/>
      <c r="L61" s="635"/>
    </row>
    <row r="62" spans="2:17" ht="6.75" customHeight="1">
      <c r="B62" s="641"/>
      <c r="C62" s="670"/>
      <c r="D62" s="666"/>
      <c r="E62" s="666"/>
      <c r="F62" s="670"/>
      <c r="G62" s="668"/>
      <c r="H62" s="668"/>
      <c r="I62" s="668"/>
      <c r="J62" s="669"/>
      <c r="K62" s="669"/>
      <c r="L62" s="635"/>
    </row>
    <row r="63" spans="2:17" ht="13.5" customHeight="1">
      <c r="B63" s="641"/>
      <c r="C63" s="666"/>
      <c r="D63" s="671" t="s">
        <v>92</v>
      </c>
      <c r="E63" s="671"/>
      <c r="F63" s="671" t="s">
        <v>90</v>
      </c>
      <c r="G63" s="672"/>
      <c r="H63" s="671" t="s">
        <v>89</v>
      </c>
      <c r="I63" s="672"/>
      <c r="J63" s="671" t="s">
        <v>88</v>
      </c>
      <c r="K63" s="671" t="s">
        <v>864</v>
      </c>
      <c r="L63" s="635"/>
    </row>
    <row r="64" spans="2:17" ht="15.75" customHeight="1">
      <c r="B64" s="641"/>
      <c r="C64" s="673" t="s">
        <v>863</v>
      </c>
      <c r="D64" s="674"/>
      <c r="E64" s="675"/>
      <c r="F64" s="674"/>
      <c r="G64" s="676"/>
      <c r="H64" s="674"/>
      <c r="I64" s="676"/>
      <c r="J64" s="674"/>
      <c r="K64" s="677" t="str">
        <f>IF(ROUND(D64+F64+H64+J64,3)&gt;100%,"Error - Total &gt;100%",TEXT(ROUND(D64+F64+H64+J64,3),"0.00%"))</f>
        <v>0.00%</v>
      </c>
      <c r="L64" s="678" t="str">
        <f>IF(ROUND(D64+F64+H64+J64,3)&gt;100%,K64,"")</f>
        <v/>
      </c>
      <c r="M64" s="403">
        <f>ROUND(MAX(1-Bus2_App2DistrSME-Bus2_App3DistrSME-Bus2_App4DistrSME,0),8)</f>
        <v>1</v>
      </c>
      <c r="N64" s="403">
        <f>ROUND(MAX(1-Bus2_App1DistrSME-Bus2_App3DistrSME-Bus2_App4DistrSME,0),8)</f>
        <v>1</v>
      </c>
      <c r="O64" s="403">
        <f>ROUND(MAX(1-Bus2_App2DistrSME-Bus2_App1DistrSME-Bus2_App4DistrSME,0),8)</f>
        <v>1</v>
      </c>
      <c r="P64" s="403">
        <f>ROUND(MAX(1-Bus2_App2DistrSME-Bus2_App3DistrSME-Bus2_App1DistrSME,0),8)</f>
        <v>1</v>
      </c>
    </row>
    <row r="65" spans="2:13" ht="3.75" customHeight="1">
      <c r="B65" s="641"/>
      <c r="C65" s="673"/>
      <c r="D65" s="679"/>
      <c r="E65" s="679"/>
      <c r="F65" s="679"/>
      <c r="G65" s="679"/>
      <c r="H65" s="679"/>
      <c r="I65" s="679"/>
      <c r="J65" s="679"/>
      <c r="K65" s="680"/>
      <c r="L65" s="678"/>
    </row>
    <row r="66" spans="2:13" ht="16.5" customHeight="1">
      <c r="B66" s="641"/>
      <c r="C66" s="681" t="s">
        <v>862</v>
      </c>
      <c r="D66" s="656">
        <f>IFERROR(IF(SE2TestSME=1,Bus2_App1DistrSME*SE2netAvSME,IF(SE2TestSME=2,Bus2_App1DistrSME*SE2netAvAdjSME,0)),"")</f>
        <v>0</v>
      </c>
      <c r="E66" s="667"/>
      <c r="F66" s="656">
        <f>IFERROR(IF(SE2TestSME=1,Bus2_App2DistrSME*SE2netAvSME,IF(SE2TestSME=2,Bus2_App2DistrSME*SE2netAvAdjSME,0)),"")</f>
        <v>0</v>
      </c>
      <c r="G66" s="682"/>
      <c r="H66" s="656">
        <f>IFERROR(IF(SE2TestSME=1,Bus2_App3DistrSME*SE2netAvSME,IF(SE2TestSME=2,Bus2_App3DistrSME*SE2netAvAdjSME,0)),"")</f>
        <v>0</v>
      </c>
      <c r="I66" s="682"/>
      <c r="J66" s="656">
        <f>IFERROR(IF(SE2TestSME=1,Bus2_App4DistrSME*SE2netAvSME,IF(SE2TestSME=2,Bus2_App4DistrSME*SE2netAvAdjSME,0)),"")</f>
        <v>0</v>
      </c>
      <c r="K66" s="669"/>
      <c r="L66" s="635"/>
    </row>
    <row r="67" spans="2:13" ht="6.75" customHeight="1" thickBot="1">
      <c r="B67" s="683"/>
      <c r="C67" s="684"/>
      <c r="D67" s="684"/>
      <c r="E67" s="684"/>
      <c r="F67" s="684"/>
      <c r="G67" s="685"/>
      <c r="H67" s="685"/>
      <c r="I67" s="685"/>
      <c r="J67" s="686"/>
      <c r="K67" s="686"/>
      <c r="L67" s="687"/>
    </row>
    <row r="68" spans="2:13" ht="17.25" hidden="1" customHeight="1" thickBot="1">
      <c r="B68" s="436"/>
      <c r="C68" s="437" t="s">
        <v>918</v>
      </c>
      <c r="D68" s="437">
        <f>IF('Self Employed Calculator (SME)'!N48="",0,'Self Employed Calculator (SME)'!N48)*Bus2_App1DistrSME</f>
        <v>0</v>
      </c>
      <c r="E68" s="437"/>
      <c r="F68" s="437">
        <f>IF('Self Employed Calculator (SME)'!N48="",0,'Self Employed Calculator (SME)'!N48)*Bus2_App2DistrSME</f>
        <v>0</v>
      </c>
      <c r="G68" s="437"/>
      <c r="H68" s="437">
        <f>IF('Self Employed Calculator (SME)'!N48="",0,'Self Employed Calculator (SME)'!N48)*Bus2_App3DistrSME</f>
        <v>0</v>
      </c>
      <c r="I68" s="437"/>
      <c r="J68" s="437">
        <f>IF('Self Employed Calculator (SME)'!N48="",0,'Self Employed Calculator (SME)'!N48)*Bus2_App4DistrSME</f>
        <v>0</v>
      </c>
      <c r="K68" s="438"/>
      <c r="L68" s="439"/>
    </row>
    <row r="69" spans="2:13" ht="12" customHeight="1">
      <c r="M69" s="402"/>
    </row>
    <row r="70" spans="2:13" ht="12" customHeight="1">
      <c r="M70" s="402"/>
    </row>
    <row r="71" spans="2:13" ht="12.75" customHeight="1">
      <c r="M71" s="402"/>
    </row>
    <row r="72" spans="2:13" ht="12.75" customHeight="1">
      <c r="M72" s="402"/>
    </row>
    <row r="73" spans="2:13" ht="12.75" customHeight="1">
      <c r="M73" s="402"/>
    </row>
    <row r="98" spans="49:49">
      <c r="AW98" s="105" t="s">
        <v>290</v>
      </c>
    </row>
  </sheetData>
  <sheetProtection algorithmName="SHA-512" hashValue="NCs5ECX2BpkQdUcAeilLZcmYVumGqx8CIoTFXtoL457JAfNBNn6Nf4aEbxutIK3fXWENEIBiKEgnvweMvRmARg==" saltValue="+mjxCKI8IENifVoTTwnvYQ==" spinCount="100000" sheet="1" objects="1" scenarios="1"/>
  <mergeCells count="14">
    <mergeCell ref="H26:K26"/>
    <mergeCell ref="B3:C3"/>
    <mergeCell ref="D4:F4"/>
    <mergeCell ref="H8:K8"/>
    <mergeCell ref="H10:K10"/>
    <mergeCell ref="H11:K22"/>
    <mergeCell ref="H60:K60"/>
    <mergeCell ref="C61:D61"/>
    <mergeCell ref="H28:K28"/>
    <mergeCell ref="C29:D29"/>
    <mergeCell ref="H40:K40"/>
    <mergeCell ref="H42:K42"/>
    <mergeCell ref="H43:K54"/>
    <mergeCell ref="H58:K58"/>
  </mergeCells>
  <conditionalFormatting sqref="K32:K33">
    <cfRule type="cellIs" dxfId="13" priority="2" stopIfTrue="1" operator="equal">
      <formula>$L$32</formula>
    </cfRule>
  </conditionalFormatting>
  <conditionalFormatting sqref="K64:K65">
    <cfRule type="cellIs" dxfId="12" priority="1" stopIfTrue="1" operator="equal">
      <formula>$L$32</formula>
    </cfRule>
  </conditionalFormatting>
  <dataValidations count="5">
    <dataValidation type="decimal" allowBlank="1" showInputMessage="1" showErrorMessage="1" errorTitle="Input error" error="Please enter a % between 0 and 100. _x000a_Total allocation cannot be &gt; 100%." sqref="H32 H64" xr:uid="{F5D0AE2B-0870-49FE-9A15-DCBFBBF4ECC0}">
      <formula1>0</formula1>
      <formula2>O32</formula2>
    </dataValidation>
    <dataValidation type="decimal" allowBlank="1" showInputMessage="1" showErrorMessage="1" errorTitle="Input error" error="Please enter a % between 0 and 100. _x000a_Total allocation cannot be &gt; 100%." sqref="F32 F64" xr:uid="{985E2A88-E3D1-4782-99EB-2D208EC915C9}">
      <formula1>0</formula1>
      <formula2>N32</formula2>
    </dataValidation>
    <dataValidation type="decimal" allowBlank="1" showInputMessage="1" showErrorMessage="1" errorTitle="Input error" error="Please enter a % between 0 and 100. _x000a_Total allocation cannot be &gt; 100%." sqref="J32 J64" xr:uid="{B2D0A529-C38C-4E33-BDEF-4B3CE0F2AF9E}">
      <formula1>0</formula1>
      <formula2>P32</formula2>
    </dataValidation>
    <dataValidation type="decimal" operator="greaterThanOrEqual" allowBlank="1" showInputMessage="1" showErrorMessage="1" errorTitle="Value" error="Must be greater than or equal to zero" sqref="D15:D20 F15:F20 F47:F52 D47:D52" xr:uid="{AEEC5A37-9BDE-437B-9007-AE0A192DE60D}">
      <formula1>0</formula1>
    </dataValidation>
    <dataValidation type="decimal" allowBlank="1" showInputMessage="1" showErrorMessage="1" errorTitle="Input error" error="Please enter a % between 0 and 100. _x000a_Total allocation cannot be &gt; 100%." sqref="D64 D32" xr:uid="{FFE9E366-B67B-499D-83D0-D8BDA9193C44}">
      <formula1>0</formula1>
      <formula2>M32</formula2>
    </dataValidation>
  </dataValidations>
  <pageMargins left="0.3" right="0.16" top="0.56999999999999995" bottom="0.19" header="0.25" footer="0.14000000000000001"/>
  <pageSetup paperSize="9" scale="8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7825" r:id="rId4" name="BackButtonSME">
              <controlPr defaultSize="0" print="0" autoFill="0" autoPict="0" macro="[0]!BackButtonSME_Click">
                <anchor moveWithCells="1" sizeWithCells="1">
                  <from>
                    <xdr:col>7</xdr:col>
                    <xdr:colOff>323850</xdr:colOff>
                    <xdr:row>1</xdr:row>
                    <xdr:rowOff>57150</xdr:rowOff>
                  </from>
                  <to>
                    <xdr:col>10</xdr:col>
                    <xdr:colOff>266700</xdr:colOff>
                    <xdr:row>2</xdr:row>
                    <xdr:rowOff>180975</xdr:rowOff>
                  </to>
                </anchor>
              </controlPr>
            </control>
          </mc:Choice>
        </mc:AlternateContent>
        <mc:AlternateContent xmlns:mc="http://schemas.openxmlformats.org/markup-compatibility/2006">
          <mc:Choice Requires="x14">
            <control shapeId="77826" r:id="rId5" name="SEResetButton">
              <controlPr defaultSize="0" print="0" autoFill="0" autoPict="0" macro="[0]!Reset_seSME">
                <anchor moveWithCells="1" sizeWithCells="1">
                  <from>
                    <xdr:col>10</xdr:col>
                    <xdr:colOff>438150</xdr:colOff>
                    <xdr:row>1</xdr:row>
                    <xdr:rowOff>57150</xdr:rowOff>
                  </from>
                  <to>
                    <xdr:col>10</xdr:col>
                    <xdr:colOff>1066800</xdr:colOff>
                    <xdr:row>2</xdr:row>
                    <xdr:rowOff>180975</xdr:rowOff>
                  </to>
                </anchor>
              </controlPr>
            </control>
          </mc:Choice>
        </mc:AlternateContent>
        <mc:AlternateContent xmlns:mc="http://schemas.openxmlformats.org/markup-compatibility/2006">
          <mc:Choice Requires="x14">
            <control shapeId="77827" r:id="rId6" name="SE1CheckboxSME">
              <controlPr defaultSize="0" autoFill="0" autoLine="0" autoPict="0" macro="[0]!SE1_DistrSME">
                <anchor moveWithCells="1">
                  <from>
                    <xdr:col>4</xdr:col>
                    <xdr:colOff>19050</xdr:colOff>
                    <xdr:row>25</xdr:row>
                    <xdr:rowOff>19050</xdr:rowOff>
                  </from>
                  <to>
                    <xdr:col>5</xdr:col>
                    <xdr:colOff>104775</xdr:colOff>
                    <xdr:row>26</xdr:row>
                    <xdr:rowOff>0</xdr:rowOff>
                  </to>
                </anchor>
              </controlPr>
            </control>
          </mc:Choice>
        </mc:AlternateContent>
        <mc:AlternateContent xmlns:mc="http://schemas.openxmlformats.org/markup-compatibility/2006">
          <mc:Choice Requires="x14">
            <control shapeId="77828" r:id="rId7" name="SE1AdjCheckboxSME">
              <controlPr defaultSize="0" autoFill="0" autoLine="0" autoPict="0" macro="[0]!SE1Adj_DistrSME">
                <anchor moveWithCells="1">
                  <from>
                    <xdr:col>4</xdr:col>
                    <xdr:colOff>19050</xdr:colOff>
                    <xdr:row>27</xdr:row>
                    <xdr:rowOff>9525</xdr:rowOff>
                  </from>
                  <to>
                    <xdr:col>5</xdr:col>
                    <xdr:colOff>114300</xdr:colOff>
                    <xdr:row>27</xdr:row>
                    <xdr:rowOff>219075</xdr:rowOff>
                  </to>
                </anchor>
              </controlPr>
            </control>
          </mc:Choice>
        </mc:AlternateContent>
        <mc:AlternateContent xmlns:mc="http://schemas.openxmlformats.org/markup-compatibility/2006">
          <mc:Choice Requires="x14">
            <control shapeId="77829" r:id="rId8" name="SE2CheckboxSME">
              <controlPr defaultSize="0" autoFill="0" autoLine="0" autoPict="0" macro="[0]!SE2CheckboxSME_Click">
                <anchor moveWithCells="1">
                  <from>
                    <xdr:col>4</xdr:col>
                    <xdr:colOff>19050</xdr:colOff>
                    <xdr:row>57</xdr:row>
                    <xdr:rowOff>19050</xdr:rowOff>
                  </from>
                  <to>
                    <xdr:col>5</xdr:col>
                    <xdr:colOff>104775</xdr:colOff>
                    <xdr:row>58</xdr:row>
                    <xdr:rowOff>19050</xdr:rowOff>
                  </to>
                </anchor>
              </controlPr>
            </control>
          </mc:Choice>
        </mc:AlternateContent>
        <mc:AlternateContent xmlns:mc="http://schemas.openxmlformats.org/markup-compatibility/2006">
          <mc:Choice Requires="x14">
            <control shapeId="77830" r:id="rId9" name="SE2AdjCheckboxSME">
              <controlPr defaultSize="0" autoFill="0" autoLine="0" autoPict="0" macro="[0]!SE2AdjCheckboxSME_Click">
                <anchor moveWithCells="1">
                  <from>
                    <xdr:col>4</xdr:col>
                    <xdr:colOff>19050</xdr:colOff>
                    <xdr:row>59</xdr:row>
                    <xdr:rowOff>19050</xdr:rowOff>
                  </from>
                  <to>
                    <xdr:col>5</xdr:col>
                    <xdr:colOff>104775</xdr:colOff>
                    <xdr:row>60</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B513D-B602-43D5-BFA1-3744763B06C1}">
  <sheetPr codeName="Sheet10">
    <pageSetUpPr fitToPage="1"/>
  </sheetPr>
  <dimension ref="E1:AH34"/>
  <sheetViews>
    <sheetView topLeftCell="E2" zoomScale="98" zoomScaleNormal="98" workbookViewId="0">
      <selection activeCell="F5" sqref="F5:H5"/>
    </sheetView>
  </sheetViews>
  <sheetFormatPr defaultColWidth="8.7109375" defaultRowHeight="15"/>
  <cols>
    <col min="1" max="4" width="0" style="16" hidden="1" customWidth="1"/>
    <col min="5" max="5" width="8.7109375" style="16" customWidth="1"/>
    <col min="6" max="7" width="8.7109375" style="16"/>
    <col min="8" max="8" width="15.7109375" style="16" customWidth="1"/>
    <col min="9" max="9" width="13" style="16" customWidth="1"/>
    <col min="10" max="10" width="12.85546875" style="16" bestFit="1" customWidth="1"/>
    <col min="11" max="11" width="2.140625" style="16" hidden="1" customWidth="1"/>
    <col min="12" max="12" width="13.85546875" style="16" customWidth="1"/>
    <col min="13" max="13" width="21" style="16" bestFit="1" customWidth="1"/>
    <col min="14" max="17" width="5.85546875" style="16" bestFit="1" customWidth="1"/>
    <col min="18" max="18" width="15.7109375" style="16" bestFit="1" customWidth="1"/>
    <col min="19" max="19" width="15.5703125" style="16" customWidth="1"/>
    <col min="20" max="20" width="15.7109375" style="16" hidden="1" customWidth="1"/>
    <col min="21" max="24" width="12.85546875" style="16" hidden="1" customWidth="1"/>
    <col min="25" max="25" width="13.5703125" style="16" hidden="1" customWidth="1"/>
    <col min="26" max="26" width="10.85546875" style="16" hidden="1" customWidth="1"/>
    <col min="27" max="27" width="13.28515625" style="16" hidden="1" customWidth="1"/>
    <col min="28" max="28" width="10.85546875" style="16" hidden="1" customWidth="1"/>
    <col min="29" max="29" width="8.7109375" style="16" hidden="1" customWidth="1"/>
    <col min="30" max="16384" width="8.7109375" style="16"/>
  </cols>
  <sheetData>
    <row r="1" spans="5:34" hidden="1">
      <c r="T1" s="409"/>
    </row>
    <row r="2" spans="5:34">
      <c r="T2" s="409"/>
    </row>
    <row r="3" spans="5:34" ht="15" customHeight="1">
      <c r="E3" s="433"/>
      <c r="F3" s="826" t="s">
        <v>907</v>
      </c>
      <c r="G3" s="826"/>
      <c r="H3" s="826"/>
      <c r="I3" s="826"/>
      <c r="R3" s="826" t="s">
        <v>906</v>
      </c>
      <c r="S3" s="826"/>
      <c r="T3" s="826"/>
      <c r="U3" s="826"/>
      <c r="Y3" s="16" t="s">
        <v>893</v>
      </c>
    </row>
    <row r="4" spans="5:34">
      <c r="F4" s="827" t="s">
        <v>905</v>
      </c>
      <c r="G4" s="828"/>
      <c r="H4" s="828"/>
      <c r="I4" s="725" t="s">
        <v>904</v>
      </c>
      <c r="J4" s="725" t="s">
        <v>903</v>
      </c>
      <c r="K4" s="725"/>
      <c r="L4" s="725" t="s">
        <v>902</v>
      </c>
      <c r="M4" s="725" t="s">
        <v>901</v>
      </c>
      <c r="N4" s="725" t="s">
        <v>898</v>
      </c>
      <c r="O4" s="725" t="s">
        <v>897</v>
      </c>
      <c r="P4" s="725" t="s">
        <v>896</v>
      </c>
      <c r="Q4" s="725" t="s">
        <v>895</v>
      </c>
      <c r="R4" s="726" t="s">
        <v>900</v>
      </c>
      <c r="S4" s="726" t="s">
        <v>6</v>
      </c>
      <c r="T4" s="32" t="s">
        <v>899</v>
      </c>
      <c r="U4" s="20" t="s">
        <v>898</v>
      </c>
      <c r="V4" s="432" t="s">
        <v>897</v>
      </c>
      <c r="W4" s="431" t="s">
        <v>896</v>
      </c>
      <c r="X4" s="431" t="s">
        <v>895</v>
      </c>
      <c r="Y4" s="431" t="s">
        <v>898</v>
      </c>
      <c r="Z4" s="431" t="s">
        <v>897</v>
      </c>
      <c r="AA4" s="431" t="s">
        <v>896</v>
      </c>
      <c r="AB4" s="430" t="s">
        <v>895</v>
      </c>
      <c r="AC4" s="429"/>
    </row>
    <row r="5" spans="5:34">
      <c r="F5" s="829"/>
      <c r="G5" s="829"/>
      <c r="H5" s="829"/>
      <c r="I5" s="425">
        <v>0</v>
      </c>
      <c r="J5" s="428"/>
      <c r="K5" s="428">
        <f t="shared" ref="K5:K29" si="0">IF(J5="Weekly",52,IF(J5="Fortnightly",26,IF(J5="Monthly",12,IF(J5="Quarterly",4,1))))</f>
        <v>1</v>
      </c>
      <c r="L5" s="622">
        <f>I5*K5</f>
        <v>0</v>
      </c>
      <c r="M5" s="427"/>
      <c r="N5" s="426"/>
      <c r="O5" s="426"/>
      <c r="P5" s="426"/>
      <c r="Q5" s="426"/>
      <c r="R5" s="425">
        <v>0</v>
      </c>
      <c r="S5" s="424"/>
      <c r="T5" s="421">
        <f t="shared" ref="T5:T29" si="1">R5*S5</f>
        <v>0</v>
      </c>
      <c r="U5" s="420">
        <f t="shared" ref="U5:U29" si="2">T5*N5</f>
        <v>0</v>
      </c>
      <c r="V5" s="410">
        <f t="shared" ref="V5:V29" si="3">T5*O5</f>
        <v>0</v>
      </c>
      <c r="W5" s="410">
        <f t="shared" ref="W5:W29" si="4">T5*P5</f>
        <v>0</v>
      </c>
      <c r="X5" s="411">
        <f t="shared" ref="X5:X29" si="5">Q5*T5</f>
        <v>0</v>
      </c>
      <c r="Y5" s="410">
        <f t="shared" ref="Y5:Y29" si="6">N5*L5</f>
        <v>0</v>
      </c>
      <c r="Z5" s="410">
        <f t="shared" ref="Z5:Z29" si="7">O5*L5</f>
        <v>0</v>
      </c>
      <c r="AA5" s="410">
        <f t="shared" ref="AA5:AA29" si="8">P5*L5</f>
        <v>0</v>
      </c>
      <c r="AB5" s="410">
        <f t="shared" ref="AB5:AB29" si="9">Q5*L5</f>
        <v>0</v>
      </c>
    </row>
    <row r="6" spans="5:34">
      <c r="F6" s="829"/>
      <c r="G6" s="829"/>
      <c r="H6" s="829"/>
      <c r="I6" s="425">
        <v>0</v>
      </c>
      <c r="J6" s="428"/>
      <c r="K6" s="422">
        <f t="shared" si="0"/>
        <v>1</v>
      </c>
      <c r="L6" s="622">
        <f t="shared" ref="L6:L29" si="10">I6*K6</f>
        <v>0</v>
      </c>
      <c r="M6" s="427"/>
      <c r="N6" s="426"/>
      <c r="O6" s="426"/>
      <c r="P6" s="426"/>
      <c r="Q6" s="426"/>
      <c r="R6" s="425">
        <v>0</v>
      </c>
      <c r="S6" s="424"/>
      <c r="T6" s="421">
        <f t="shared" si="1"/>
        <v>0</v>
      </c>
      <c r="U6" s="420">
        <f t="shared" si="2"/>
        <v>0</v>
      </c>
      <c r="V6" s="410">
        <f t="shared" si="3"/>
        <v>0</v>
      </c>
      <c r="W6" s="410">
        <f t="shared" si="4"/>
        <v>0</v>
      </c>
      <c r="X6" s="411">
        <f t="shared" si="5"/>
        <v>0</v>
      </c>
      <c r="Y6" s="410">
        <f t="shared" si="6"/>
        <v>0</v>
      </c>
      <c r="Z6" s="410">
        <f t="shared" si="7"/>
        <v>0</v>
      </c>
      <c r="AA6" s="410">
        <f t="shared" si="8"/>
        <v>0</v>
      </c>
      <c r="AB6" s="410">
        <f t="shared" si="9"/>
        <v>0</v>
      </c>
    </row>
    <row r="7" spans="5:34" ht="15" customHeight="1">
      <c r="F7" s="829"/>
      <c r="G7" s="829"/>
      <c r="H7" s="829"/>
      <c r="I7" s="425">
        <v>0</v>
      </c>
      <c r="J7" s="428"/>
      <c r="K7" s="428">
        <f t="shared" si="0"/>
        <v>1</v>
      </c>
      <c r="L7" s="622">
        <f t="shared" si="10"/>
        <v>0</v>
      </c>
      <c r="M7" s="427"/>
      <c r="N7" s="426"/>
      <c r="O7" s="426"/>
      <c r="P7" s="426"/>
      <c r="Q7" s="426"/>
      <c r="R7" s="425">
        <v>0</v>
      </c>
      <c r="S7" s="424"/>
      <c r="T7" s="421">
        <f t="shared" si="1"/>
        <v>0</v>
      </c>
      <c r="U7" s="420">
        <f t="shared" si="2"/>
        <v>0</v>
      </c>
      <c r="V7" s="410">
        <f t="shared" si="3"/>
        <v>0</v>
      </c>
      <c r="W7" s="410">
        <f t="shared" si="4"/>
        <v>0</v>
      </c>
      <c r="X7" s="411">
        <f t="shared" si="5"/>
        <v>0</v>
      </c>
      <c r="Y7" s="410">
        <f t="shared" si="6"/>
        <v>0</v>
      </c>
      <c r="Z7" s="410">
        <f t="shared" si="7"/>
        <v>0</v>
      </c>
      <c r="AA7" s="410">
        <f t="shared" si="8"/>
        <v>0</v>
      </c>
      <c r="AB7" s="410">
        <f t="shared" si="9"/>
        <v>0</v>
      </c>
    </row>
    <row r="8" spans="5:34">
      <c r="F8" s="829"/>
      <c r="G8" s="829"/>
      <c r="H8" s="829"/>
      <c r="I8" s="425">
        <v>0</v>
      </c>
      <c r="J8" s="428"/>
      <c r="K8" s="422">
        <f t="shared" si="0"/>
        <v>1</v>
      </c>
      <c r="L8" s="622">
        <f t="shared" si="10"/>
        <v>0</v>
      </c>
      <c r="M8" s="427"/>
      <c r="N8" s="426"/>
      <c r="O8" s="426"/>
      <c r="P8" s="426"/>
      <c r="Q8" s="426"/>
      <c r="R8" s="425">
        <v>0</v>
      </c>
      <c r="S8" s="424"/>
      <c r="T8" s="421">
        <f t="shared" si="1"/>
        <v>0</v>
      </c>
      <c r="U8" s="420">
        <f t="shared" si="2"/>
        <v>0</v>
      </c>
      <c r="V8" s="410">
        <f t="shared" si="3"/>
        <v>0</v>
      </c>
      <c r="W8" s="410">
        <f t="shared" si="4"/>
        <v>0</v>
      </c>
      <c r="X8" s="411">
        <f t="shared" si="5"/>
        <v>0</v>
      </c>
      <c r="Y8" s="410">
        <f t="shared" si="6"/>
        <v>0</v>
      </c>
      <c r="Z8" s="410">
        <f t="shared" si="7"/>
        <v>0</v>
      </c>
      <c r="AA8" s="410">
        <f t="shared" si="8"/>
        <v>0</v>
      </c>
      <c r="AB8" s="410">
        <f t="shared" si="9"/>
        <v>0</v>
      </c>
    </row>
    <row r="9" spans="5:34">
      <c r="F9" s="829"/>
      <c r="G9" s="829"/>
      <c r="H9" s="829"/>
      <c r="I9" s="425">
        <v>0</v>
      </c>
      <c r="J9" s="428"/>
      <c r="K9" s="428">
        <f t="shared" si="0"/>
        <v>1</v>
      </c>
      <c r="L9" s="622">
        <f t="shared" si="10"/>
        <v>0</v>
      </c>
      <c r="M9" s="427"/>
      <c r="N9" s="426"/>
      <c r="O9" s="426"/>
      <c r="P9" s="426"/>
      <c r="Q9" s="426"/>
      <c r="R9" s="425">
        <v>0</v>
      </c>
      <c r="S9" s="424"/>
      <c r="T9" s="421">
        <f t="shared" si="1"/>
        <v>0</v>
      </c>
      <c r="U9" s="420">
        <f t="shared" si="2"/>
        <v>0</v>
      </c>
      <c r="V9" s="410">
        <f t="shared" si="3"/>
        <v>0</v>
      </c>
      <c r="W9" s="410">
        <f t="shared" si="4"/>
        <v>0</v>
      </c>
      <c r="X9" s="411">
        <f t="shared" si="5"/>
        <v>0</v>
      </c>
      <c r="Y9" s="410">
        <f t="shared" si="6"/>
        <v>0</v>
      </c>
      <c r="Z9" s="410">
        <f t="shared" si="7"/>
        <v>0</v>
      </c>
      <c r="AA9" s="410">
        <f t="shared" si="8"/>
        <v>0</v>
      </c>
      <c r="AB9" s="410">
        <f t="shared" si="9"/>
        <v>0</v>
      </c>
    </row>
    <row r="10" spans="5:34">
      <c r="F10" s="829"/>
      <c r="G10" s="829"/>
      <c r="H10" s="829"/>
      <c r="I10" s="425">
        <v>0</v>
      </c>
      <c r="J10" s="428"/>
      <c r="K10" s="422">
        <f t="shared" si="0"/>
        <v>1</v>
      </c>
      <c r="L10" s="622">
        <f t="shared" si="10"/>
        <v>0</v>
      </c>
      <c r="M10" s="427"/>
      <c r="N10" s="426"/>
      <c r="O10" s="426"/>
      <c r="P10" s="426"/>
      <c r="Q10" s="426"/>
      <c r="R10" s="425">
        <v>0</v>
      </c>
      <c r="S10" s="424"/>
      <c r="T10" s="421">
        <f t="shared" si="1"/>
        <v>0</v>
      </c>
      <c r="U10" s="420">
        <f t="shared" si="2"/>
        <v>0</v>
      </c>
      <c r="V10" s="410">
        <f t="shared" si="3"/>
        <v>0</v>
      </c>
      <c r="W10" s="410">
        <f t="shared" si="4"/>
        <v>0</v>
      </c>
      <c r="X10" s="411">
        <f t="shared" si="5"/>
        <v>0</v>
      </c>
      <c r="Y10" s="410">
        <f t="shared" si="6"/>
        <v>0</v>
      </c>
      <c r="Z10" s="410">
        <f t="shared" si="7"/>
        <v>0</v>
      </c>
      <c r="AA10" s="410">
        <f t="shared" si="8"/>
        <v>0</v>
      </c>
      <c r="AB10" s="410">
        <f t="shared" si="9"/>
        <v>0</v>
      </c>
    </row>
    <row r="11" spans="5:34" ht="15" customHeight="1">
      <c r="F11" s="829"/>
      <c r="G11" s="829"/>
      <c r="H11" s="829"/>
      <c r="I11" s="425">
        <v>0</v>
      </c>
      <c r="J11" s="428"/>
      <c r="K11" s="428">
        <f t="shared" si="0"/>
        <v>1</v>
      </c>
      <c r="L11" s="622">
        <f t="shared" si="10"/>
        <v>0</v>
      </c>
      <c r="M11" s="427"/>
      <c r="N11" s="426"/>
      <c r="O11" s="426"/>
      <c r="P11" s="426"/>
      <c r="Q11" s="426"/>
      <c r="R11" s="425">
        <v>0</v>
      </c>
      <c r="S11" s="424"/>
      <c r="T11" s="421">
        <f t="shared" si="1"/>
        <v>0</v>
      </c>
      <c r="U11" s="420">
        <f t="shared" si="2"/>
        <v>0</v>
      </c>
      <c r="V11" s="410">
        <f t="shared" si="3"/>
        <v>0</v>
      </c>
      <c r="W11" s="410">
        <f t="shared" si="4"/>
        <v>0</v>
      </c>
      <c r="X11" s="411">
        <f t="shared" si="5"/>
        <v>0</v>
      </c>
      <c r="Y11" s="410">
        <f t="shared" si="6"/>
        <v>0</v>
      </c>
      <c r="Z11" s="410">
        <f t="shared" si="7"/>
        <v>0</v>
      </c>
      <c r="AA11" s="410">
        <f t="shared" si="8"/>
        <v>0</v>
      </c>
      <c r="AB11" s="410">
        <f t="shared" si="9"/>
        <v>0</v>
      </c>
      <c r="AH11" s="428"/>
    </row>
    <row r="12" spans="5:34">
      <c r="F12" s="829"/>
      <c r="G12" s="829"/>
      <c r="H12" s="829"/>
      <c r="I12" s="425">
        <v>0</v>
      </c>
      <c r="J12" s="428"/>
      <c r="K12" s="422">
        <f t="shared" si="0"/>
        <v>1</v>
      </c>
      <c r="L12" s="622">
        <f t="shared" si="10"/>
        <v>0</v>
      </c>
      <c r="M12" s="427"/>
      <c r="N12" s="426"/>
      <c r="O12" s="426"/>
      <c r="P12" s="426"/>
      <c r="Q12" s="426"/>
      <c r="R12" s="425">
        <v>0</v>
      </c>
      <c r="S12" s="424"/>
      <c r="T12" s="421">
        <f t="shared" si="1"/>
        <v>0</v>
      </c>
      <c r="U12" s="420">
        <f t="shared" si="2"/>
        <v>0</v>
      </c>
      <c r="V12" s="410">
        <f t="shared" si="3"/>
        <v>0</v>
      </c>
      <c r="W12" s="410">
        <f t="shared" si="4"/>
        <v>0</v>
      </c>
      <c r="X12" s="411">
        <f t="shared" si="5"/>
        <v>0</v>
      </c>
      <c r="Y12" s="410">
        <f t="shared" si="6"/>
        <v>0</v>
      </c>
      <c r="Z12" s="410">
        <f t="shared" si="7"/>
        <v>0</v>
      </c>
      <c r="AA12" s="410">
        <f t="shared" si="8"/>
        <v>0</v>
      </c>
      <c r="AB12" s="410">
        <f t="shared" si="9"/>
        <v>0</v>
      </c>
    </row>
    <row r="13" spans="5:34">
      <c r="F13" s="829"/>
      <c r="G13" s="829"/>
      <c r="H13" s="829"/>
      <c r="I13" s="425">
        <v>0</v>
      </c>
      <c r="J13" s="428"/>
      <c r="K13" s="428">
        <f t="shared" si="0"/>
        <v>1</v>
      </c>
      <c r="L13" s="622">
        <f t="shared" si="10"/>
        <v>0</v>
      </c>
      <c r="M13" s="427"/>
      <c r="N13" s="426"/>
      <c r="O13" s="426"/>
      <c r="P13" s="426"/>
      <c r="Q13" s="426"/>
      <c r="R13" s="425">
        <v>0</v>
      </c>
      <c r="S13" s="424"/>
      <c r="T13" s="421">
        <f t="shared" si="1"/>
        <v>0</v>
      </c>
      <c r="U13" s="420">
        <f t="shared" si="2"/>
        <v>0</v>
      </c>
      <c r="V13" s="410">
        <f t="shared" si="3"/>
        <v>0</v>
      </c>
      <c r="W13" s="410">
        <f t="shared" si="4"/>
        <v>0</v>
      </c>
      <c r="X13" s="411">
        <f t="shared" si="5"/>
        <v>0</v>
      </c>
      <c r="Y13" s="410">
        <f t="shared" si="6"/>
        <v>0</v>
      </c>
      <c r="Z13" s="410">
        <f t="shared" si="7"/>
        <v>0</v>
      </c>
      <c r="AA13" s="410">
        <f t="shared" si="8"/>
        <v>0</v>
      </c>
      <c r="AB13" s="410">
        <f t="shared" si="9"/>
        <v>0</v>
      </c>
    </row>
    <row r="14" spans="5:34">
      <c r="F14" s="829"/>
      <c r="G14" s="829"/>
      <c r="H14" s="829"/>
      <c r="I14" s="425">
        <v>0</v>
      </c>
      <c r="J14" s="428"/>
      <c r="K14" s="422">
        <f t="shared" si="0"/>
        <v>1</v>
      </c>
      <c r="L14" s="622">
        <f t="shared" si="10"/>
        <v>0</v>
      </c>
      <c r="M14" s="427"/>
      <c r="N14" s="426"/>
      <c r="O14" s="426"/>
      <c r="P14" s="426"/>
      <c r="Q14" s="426"/>
      <c r="R14" s="425">
        <v>0</v>
      </c>
      <c r="S14" s="424"/>
      <c r="T14" s="421">
        <f t="shared" si="1"/>
        <v>0</v>
      </c>
      <c r="U14" s="420">
        <f t="shared" si="2"/>
        <v>0</v>
      </c>
      <c r="V14" s="410">
        <f t="shared" si="3"/>
        <v>0</v>
      </c>
      <c r="W14" s="410">
        <f t="shared" si="4"/>
        <v>0</v>
      </c>
      <c r="X14" s="411">
        <f t="shared" si="5"/>
        <v>0</v>
      </c>
      <c r="Y14" s="410">
        <f t="shared" si="6"/>
        <v>0</v>
      </c>
      <c r="Z14" s="410">
        <f t="shared" si="7"/>
        <v>0</v>
      </c>
      <c r="AA14" s="410">
        <f t="shared" si="8"/>
        <v>0</v>
      </c>
      <c r="AB14" s="410">
        <f t="shared" si="9"/>
        <v>0</v>
      </c>
    </row>
    <row r="15" spans="5:34" ht="15" customHeight="1">
      <c r="F15" s="829"/>
      <c r="G15" s="829"/>
      <c r="H15" s="829"/>
      <c r="I15" s="425">
        <v>0</v>
      </c>
      <c r="J15" s="428"/>
      <c r="K15" s="422">
        <f t="shared" si="0"/>
        <v>1</v>
      </c>
      <c r="L15" s="622">
        <f t="shared" si="10"/>
        <v>0</v>
      </c>
      <c r="M15" s="427"/>
      <c r="N15" s="426"/>
      <c r="O15" s="426"/>
      <c r="P15" s="426"/>
      <c r="Q15" s="426"/>
      <c r="R15" s="425">
        <v>0</v>
      </c>
      <c r="S15" s="424"/>
      <c r="T15" s="421">
        <f t="shared" si="1"/>
        <v>0</v>
      </c>
      <c r="U15" s="420">
        <f t="shared" si="2"/>
        <v>0</v>
      </c>
      <c r="V15" s="410">
        <f t="shared" si="3"/>
        <v>0</v>
      </c>
      <c r="W15" s="410">
        <f t="shared" si="4"/>
        <v>0</v>
      </c>
      <c r="X15" s="411">
        <f t="shared" si="5"/>
        <v>0</v>
      </c>
      <c r="Y15" s="410">
        <f t="shared" si="6"/>
        <v>0</v>
      </c>
      <c r="Z15" s="410">
        <f t="shared" si="7"/>
        <v>0</v>
      </c>
      <c r="AA15" s="410">
        <f t="shared" si="8"/>
        <v>0</v>
      </c>
      <c r="AB15" s="410">
        <f t="shared" si="9"/>
        <v>0</v>
      </c>
    </row>
    <row r="16" spans="5:34">
      <c r="F16" s="829"/>
      <c r="G16" s="829"/>
      <c r="H16" s="829"/>
      <c r="I16" s="425">
        <v>0</v>
      </c>
      <c r="J16" s="428"/>
      <c r="K16" s="422">
        <f t="shared" si="0"/>
        <v>1</v>
      </c>
      <c r="L16" s="622">
        <f t="shared" si="10"/>
        <v>0</v>
      </c>
      <c r="M16" s="427"/>
      <c r="N16" s="426"/>
      <c r="O16" s="426"/>
      <c r="P16" s="426"/>
      <c r="Q16" s="426"/>
      <c r="R16" s="425">
        <v>0</v>
      </c>
      <c r="S16" s="424"/>
      <c r="T16" s="421">
        <f t="shared" si="1"/>
        <v>0</v>
      </c>
      <c r="U16" s="420">
        <f t="shared" si="2"/>
        <v>0</v>
      </c>
      <c r="V16" s="410">
        <f t="shared" si="3"/>
        <v>0</v>
      </c>
      <c r="W16" s="410">
        <f t="shared" si="4"/>
        <v>0</v>
      </c>
      <c r="X16" s="411">
        <f t="shared" si="5"/>
        <v>0</v>
      </c>
      <c r="Y16" s="410">
        <f t="shared" si="6"/>
        <v>0</v>
      </c>
      <c r="Z16" s="410">
        <f t="shared" si="7"/>
        <v>0</v>
      </c>
      <c r="AA16" s="410">
        <f t="shared" si="8"/>
        <v>0</v>
      </c>
      <c r="AB16" s="410">
        <f t="shared" si="9"/>
        <v>0</v>
      </c>
    </row>
    <row r="17" spans="5:28">
      <c r="F17" s="829"/>
      <c r="G17" s="829"/>
      <c r="H17" s="829"/>
      <c r="I17" s="425">
        <v>0</v>
      </c>
      <c r="J17" s="428"/>
      <c r="K17" s="422">
        <f t="shared" si="0"/>
        <v>1</v>
      </c>
      <c r="L17" s="622">
        <f t="shared" si="10"/>
        <v>0</v>
      </c>
      <c r="M17" s="427"/>
      <c r="N17" s="426"/>
      <c r="O17" s="426"/>
      <c r="P17" s="426"/>
      <c r="Q17" s="426"/>
      <c r="R17" s="425">
        <v>0</v>
      </c>
      <c r="S17" s="424"/>
      <c r="T17" s="421">
        <f t="shared" si="1"/>
        <v>0</v>
      </c>
      <c r="U17" s="420">
        <f t="shared" si="2"/>
        <v>0</v>
      </c>
      <c r="V17" s="410">
        <f t="shared" si="3"/>
        <v>0</v>
      </c>
      <c r="W17" s="410">
        <f t="shared" si="4"/>
        <v>0</v>
      </c>
      <c r="X17" s="411">
        <f t="shared" si="5"/>
        <v>0</v>
      </c>
      <c r="Y17" s="410">
        <f t="shared" si="6"/>
        <v>0</v>
      </c>
      <c r="Z17" s="410">
        <f t="shared" si="7"/>
        <v>0</v>
      </c>
      <c r="AA17" s="410">
        <f t="shared" si="8"/>
        <v>0</v>
      </c>
      <c r="AB17" s="410">
        <f t="shared" si="9"/>
        <v>0</v>
      </c>
    </row>
    <row r="18" spans="5:28">
      <c r="F18" s="829"/>
      <c r="G18" s="829"/>
      <c r="H18" s="829"/>
      <c r="I18" s="425">
        <v>0</v>
      </c>
      <c r="J18" s="428"/>
      <c r="K18" s="422">
        <f t="shared" si="0"/>
        <v>1</v>
      </c>
      <c r="L18" s="622">
        <f t="shared" si="10"/>
        <v>0</v>
      </c>
      <c r="M18" s="427"/>
      <c r="N18" s="426"/>
      <c r="O18" s="426"/>
      <c r="P18" s="426"/>
      <c r="Q18" s="426"/>
      <c r="R18" s="425">
        <v>0</v>
      </c>
      <c r="S18" s="424"/>
      <c r="T18" s="421">
        <f t="shared" si="1"/>
        <v>0</v>
      </c>
      <c r="U18" s="420">
        <f t="shared" si="2"/>
        <v>0</v>
      </c>
      <c r="V18" s="410">
        <f t="shared" si="3"/>
        <v>0</v>
      </c>
      <c r="W18" s="410">
        <f t="shared" si="4"/>
        <v>0</v>
      </c>
      <c r="X18" s="411">
        <f t="shared" si="5"/>
        <v>0</v>
      </c>
      <c r="Y18" s="410">
        <f t="shared" si="6"/>
        <v>0</v>
      </c>
      <c r="Z18" s="410">
        <f t="shared" si="7"/>
        <v>0</v>
      </c>
      <c r="AA18" s="410">
        <f t="shared" si="8"/>
        <v>0</v>
      </c>
      <c r="AB18" s="410">
        <f t="shared" si="9"/>
        <v>0</v>
      </c>
    </row>
    <row r="19" spans="5:28" ht="15" customHeight="1">
      <c r="F19" s="829"/>
      <c r="G19" s="829"/>
      <c r="H19" s="829"/>
      <c r="I19" s="425">
        <v>0</v>
      </c>
      <c r="J19" s="428"/>
      <c r="K19" s="422">
        <f t="shared" si="0"/>
        <v>1</v>
      </c>
      <c r="L19" s="622">
        <f t="shared" si="10"/>
        <v>0</v>
      </c>
      <c r="M19" s="427"/>
      <c r="N19" s="426"/>
      <c r="O19" s="426"/>
      <c r="P19" s="426"/>
      <c r="Q19" s="426"/>
      <c r="R19" s="425">
        <v>0</v>
      </c>
      <c r="S19" s="424"/>
      <c r="T19" s="421">
        <f t="shared" si="1"/>
        <v>0</v>
      </c>
      <c r="U19" s="420">
        <f t="shared" si="2"/>
        <v>0</v>
      </c>
      <c r="V19" s="410">
        <f t="shared" si="3"/>
        <v>0</v>
      </c>
      <c r="W19" s="410">
        <f t="shared" si="4"/>
        <v>0</v>
      </c>
      <c r="X19" s="411">
        <f t="shared" si="5"/>
        <v>0</v>
      </c>
      <c r="Y19" s="410">
        <f t="shared" si="6"/>
        <v>0</v>
      </c>
      <c r="Z19" s="410">
        <f t="shared" si="7"/>
        <v>0</v>
      </c>
      <c r="AA19" s="410">
        <f t="shared" si="8"/>
        <v>0</v>
      </c>
      <c r="AB19" s="410">
        <f t="shared" si="9"/>
        <v>0</v>
      </c>
    </row>
    <row r="20" spans="5:28">
      <c r="F20" s="829"/>
      <c r="G20" s="829"/>
      <c r="H20" s="829"/>
      <c r="I20" s="425">
        <v>0</v>
      </c>
      <c r="J20" s="428"/>
      <c r="K20" s="422">
        <f t="shared" si="0"/>
        <v>1</v>
      </c>
      <c r="L20" s="622">
        <f t="shared" si="10"/>
        <v>0</v>
      </c>
      <c r="M20" s="427"/>
      <c r="N20" s="426"/>
      <c r="O20" s="426"/>
      <c r="P20" s="426"/>
      <c r="Q20" s="426"/>
      <c r="R20" s="425">
        <v>0</v>
      </c>
      <c r="S20" s="424"/>
      <c r="T20" s="421">
        <f t="shared" si="1"/>
        <v>0</v>
      </c>
      <c r="U20" s="420">
        <f t="shared" si="2"/>
        <v>0</v>
      </c>
      <c r="V20" s="410">
        <f t="shared" si="3"/>
        <v>0</v>
      </c>
      <c r="W20" s="410">
        <f t="shared" si="4"/>
        <v>0</v>
      </c>
      <c r="X20" s="411">
        <f t="shared" si="5"/>
        <v>0</v>
      </c>
      <c r="Y20" s="410">
        <f t="shared" si="6"/>
        <v>0</v>
      </c>
      <c r="Z20" s="410">
        <f t="shared" si="7"/>
        <v>0</v>
      </c>
      <c r="AA20" s="410">
        <f t="shared" si="8"/>
        <v>0</v>
      </c>
      <c r="AB20" s="410">
        <f t="shared" si="9"/>
        <v>0</v>
      </c>
    </row>
    <row r="21" spans="5:28">
      <c r="E21" s="423"/>
      <c r="F21" s="829"/>
      <c r="G21" s="829"/>
      <c r="H21" s="829"/>
      <c r="I21" s="425">
        <v>0</v>
      </c>
      <c r="J21" s="428"/>
      <c r="K21" s="422">
        <f t="shared" si="0"/>
        <v>1</v>
      </c>
      <c r="L21" s="622">
        <f t="shared" si="10"/>
        <v>0</v>
      </c>
      <c r="M21" s="427"/>
      <c r="N21" s="426"/>
      <c r="O21" s="426"/>
      <c r="P21" s="426"/>
      <c r="Q21" s="426"/>
      <c r="R21" s="425">
        <v>0</v>
      </c>
      <c r="S21" s="424"/>
      <c r="T21" s="421">
        <f t="shared" si="1"/>
        <v>0</v>
      </c>
      <c r="U21" s="420">
        <f t="shared" si="2"/>
        <v>0</v>
      </c>
      <c r="V21" s="410">
        <f t="shared" si="3"/>
        <v>0</v>
      </c>
      <c r="W21" s="410">
        <f t="shared" si="4"/>
        <v>0</v>
      </c>
      <c r="X21" s="411">
        <f t="shared" si="5"/>
        <v>0</v>
      </c>
      <c r="Y21" s="410">
        <f t="shared" si="6"/>
        <v>0</v>
      </c>
      <c r="Z21" s="410">
        <f t="shared" si="7"/>
        <v>0</v>
      </c>
      <c r="AA21" s="410">
        <f t="shared" si="8"/>
        <v>0</v>
      </c>
      <c r="AB21" s="410">
        <f t="shared" si="9"/>
        <v>0</v>
      </c>
    </row>
    <row r="22" spans="5:28">
      <c r="E22" s="423"/>
      <c r="F22" s="829"/>
      <c r="G22" s="829"/>
      <c r="H22" s="829"/>
      <c r="I22" s="425">
        <v>0</v>
      </c>
      <c r="J22" s="428"/>
      <c r="K22" s="422">
        <f t="shared" si="0"/>
        <v>1</v>
      </c>
      <c r="L22" s="622">
        <f t="shared" si="10"/>
        <v>0</v>
      </c>
      <c r="M22" s="427"/>
      <c r="N22" s="426"/>
      <c r="O22" s="426"/>
      <c r="P22" s="426"/>
      <c r="Q22" s="426"/>
      <c r="R22" s="425">
        <v>0</v>
      </c>
      <c r="S22" s="424"/>
      <c r="T22" s="421">
        <f t="shared" si="1"/>
        <v>0</v>
      </c>
      <c r="U22" s="420">
        <f t="shared" si="2"/>
        <v>0</v>
      </c>
      <c r="V22" s="410">
        <f t="shared" si="3"/>
        <v>0</v>
      </c>
      <c r="W22" s="410">
        <f t="shared" si="4"/>
        <v>0</v>
      </c>
      <c r="X22" s="411">
        <f t="shared" si="5"/>
        <v>0</v>
      </c>
      <c r="Y22" s="410">
        <f t="shared" si="6"/>
        <v>0</v>
      </c>
      <c r="Z22" s="410">
        <f t="shared" si="7"/>
        <v>0</v>
      </c>
      <c r="AA22" s="410">
        <f t="shared" si="8"/>
        <v>0</v>
      </c>
      <c r="AB22" s="410">
        <f t="shared" si="9"/>
        <v>0</v>
      </c>
    </row>
    <row r="23" spans="5:28" ht="15" customHeight="1">
      <c r="E23" s="423"/>
      <c r="F23" s="829"/>
      <c r="G23" s="829"/>
      <c r="H23" s="829"/>
      <c r="I23" s="425">
        <v>0</v>
      </c>
      <c r="J23" s="428"/>
      <c r="K23" s="422">
        <f t="shared" si="0"/>
        <v>1</v>
      </c>
      <c r="L23" s="622">
        <f t="shared" si="10"/>
        <v>0</v>
      </c>
      <c r="M23" s="427"/>
      <c r="N23" s="426"/>
      <c r="O23" s="426"/>
      <c r="P23" s="426"/>
      <c r="Q23" s="426"/>
      <c r="R23" s="425">
        <v>0</v>
      </c>
      <c r="S23" s="424"/>
      <c r="T23" s="421">
        <f t="shared" si="1"/>
        <v>0</v>
      </c>
      <c r="U23" s="420">
        <f t="shared" si="2"/>
        <v>0</v>
      </c>
      <c r="V23" s="410">
        <f t="shared" si="3"/>
        <v>0</v>
      </c>
      <c r="W23" s="410">
        <f t="shared" si="4"/>
        <v>0</v>
      </c>
      <c r="X23" s="411">
        <f t="shared" si="5"/>
        <v>0</v>
      </c>
      <c r="Y23" s="410">
        <f t="shared" si="6"/>
        <v>0</v>
      </c>
      <c r="Z23" s="410">
        <f t="shared" si="7"/>
        <v>0</v>
      </c>
      <c r="AA23" s="410">
        <f t="shared" si="8"/>
        <v>0</v>
      </c>
      <c r="AB23" s="410">
        <f t="shared" si="9"/>
        <v>0</v>
      </c>
    </row>
    <row r="24" spans="5:28">
      <c r="E24" s="423"/>
      <c r="F24" s="829"/>
      <c r="G24" s="829"/>
      <c r="H24" s="829"/>
      <c r="I24" s="425">
        <v>0</v>
      </c>
      <c r="J24" s="428"/>
      <c r="K24" s="422">
        <f t="shared" si="0"/>
        <v>1</v>
      </c>
      <c r="L24" s="622">
        <f t="shared" si="10"/>
        <v>0</v>
      </c>
      <c r="M24" s="427"/>
      <c r="N24" s="426"/>
      <c r="O24" s="426"/>
      <c r="P24" s="426"/>
      <c r="Q24" s="426"/>
      <c r="R24" s="425">
        <v>0</v>
      </c>
      <c r="S24" s="424"/>
      <c r="T24" s="421">
        <f t="shared" si="1"/>
        <v>0</v>
      </c>
      <c r="U24" s="420">
        <f t="shared" si="2"/>
        <v>0</v>
      </c>
      <c r="V24" s="410">
        <f t="shared" si="3"/>
        <v>0</v>
      </c>
      <c r="W24" s="410">
        <f t="shared" si="4"/>
        <v>0</v>
      </c>
      <c r="X24" s="411">
        <f t="shared" si="5"/>
        <v>0</v>
      </c>
      <c r="Y24" s="410">
        <f t="shared" si="6"/>
        <v>0</v>
      </c>
      <c r="Z24" s="410">
        <f t="shared" si="7"/>
        <v>0</v>
      </c>
      <c r="AA24" s="410">
        <f t="shared" si="8"/>
        <v>0</v>
      </c>
      <c r="AB24" s="410">
        <f t="shared" si="9"/>
        <v>0</v>
      </c>
    </row>
    <row r="25" spans="5:28">
      <c r="F25" s="829"/>
      <c r="G25" s="829"/>
      <c r="H25" s="829"/>
      <c r="I25" s="425">
        <v>0</v>
      </c>
      <c r="J25" s="428"/>
      <c r="K25" s="422">
        <f t="shared" si="0"/>
        <v>1</v>
      </c>
      <c r="L25" s="622">
        <f t="shared" si="10"/>
        <v>0</v>
      </c>
      <c r="M25" s="427"/>
      <c r="N25" s="426"/>
      <c r="O25" s="426"/>
      <c r="P25" s="426"/>
      <c r="Q25" s="426"/>
      <c r="R25" s="425">
        <v>0</v>
      </c>
      <c r="S25" s="424"/>
      <c r="T25" s="421">
        <f t="shared" si="1"/>
        <v>0</v>
      </c>
      <c r="U25" s="420">
        <f t="shared" si="2"/>
        <v>0</v>
      </c>
      <c r="V25" s="410">
        <f t="shared" si="3"/>
        <v>0</v>
      </c>
      <c r="W25" s="410">
        <f t="shared" si="4"/>
        <v>0</v>
      </c>
      <c r="X25" s="411">
        <f t="shared" si="5"/>
        <v>0</v>
      </c>
      <c r="Y25" s="410">
        <f t="shared" si="6"/>
        <v>0</v>
      </c>
      <c r="Z25" s="410">
        <f t="shared" si="7"/>
        <v>0</v>
      </c>
      <c r="AA25" s="410">
        <f t="shared" si="8"/>
        <v>0</v>
      </c>
      <c r="AB25" s="410">
        <f t="shared" si="9"/>
        <v>0</v>
      </c>
    </row>
    <row r="26" spans="5:28">
      <c r="F26" s="829"/>
      <c r="G26" s="829"/>
      <c r="H26" s="829"/>
      <c r="I26" s="425">
        <v>0</v>
      </c>
      <c r="J26" s="428"/>
      <c r="K26" s="422">
        <f t="shared" si="0"/>
        <v>1</v>
      </c>
      <c r="L26" s="622">
        <f t="shared" si="10"/>
        <v>0</v>
      </c>
      <c r="M26" s="427"/>
      <c r="N26" s="426"/>
      <c r="O26" s="426"/>
      <c r="P26" s="426"/>
      <c r="Q26" s="426"/>
      <c r="R26" s="425">
        <v>0</v>
      </c>
      <c r="S26" s="424"/>
      <c r="T26" s="421">
        <f t="shared" si="1"/>
        <v>0</v>
      </c>
      <c r="U26" s="420">
        <f t="shared" si="2"/>
        <v>0</v>
      </c>
      <c r="V26" s="410">
        <f t="shared" si="3"/>
        <v>0</v>
      </c>
      <c r="W26" s="410">
        <f t="shared" si="4"/>
        <v>0</v>
      </c>
      <c r="X26" s="411">
        <f t="shared" si="5"/>
        <v>0</v>
      </c>
      <c r="Y26" s="410">
        <f t="shared" si="6"/>
        <v>0</v>
      </c>
      <c r="Z26" s="410">
        <f t="shared" si="7"/>
        <v>0</v>
      </c>
      <c r="AA26" s="410">
        <f t="shared" si="8"/>
        <v>0</v>
      </c>
      <c r="AB26" s="410">
        <f t="shared" si="9"/>
        <v>0</v>
      </c>
    </row>
    <row r="27" spans="5:28">
      <c r="F27" s="829"/>
      <c r="G27" s="829"/>
      <c r="H27" s="829"/>
      <c r="I27" s="425">
        <v>0</v>
      </c>
      <c r="J27" s="428"/>
      <c r="K27" s="422">
        <f t="shared" si="0"/>
        <v>1</v>
      </c>
      <c r="L27" s="622">
        <f t="shared" si="10"/>
        <v>0</v>
      </c>
      <c r="M27" s="427"/>
      <c r="N27" s="426"/>
      <c r="O27" s="426"/>
      <c r="P27" s="426"/>
      <c r="Q27" s="426"/>
      <c r="R27" s="425">
        <v>0</v>
      </c>
      <c r="S27" s="424"/>
      <c r="T27" s="421">
        <f t="shared" si="1"/>
        <v>0</v>
      </c>
      <c r="U27" s="420">
        <f t="shared" si="2"/>
        <v>0</v>
      </c>
      <c r="V27" s="410">
        <f t="shared" si="3"/>
        <v>0</v>
      </c>
      <c r="W27" s="410">
        <f t="shared" si="4"/>
        <v>0</v>
      </c>
      <c r="X27" s="411">
        <f t="shared" si="5"/>
        <v>0</v>
      </c>
      <c r="Y27" s="410">
        <f t="shared" si="6"/>
        <v>0</v>
      </c>
      <c r="Z27" s="410">
        <f t="shared" si="7"/>
        <v>0</v>
      </c>
      <c r="AA27" s="410">
        <f t="shared" si="8"/>
        <v>0</v>
      </c>
      <c r="AB27" s="410">
        <f t="shared" si="9"/>
        <v>0</v>
      </c>
    </row>
    <row r="28" spans="5:28">
      <c r="F28" s="829"/>
      <c r="G28" s="829"/>
      <c r="H28" s="829"/>
      <c r="I28" s="425">
        <v>0</v>
      </c>
      <c r="J28" s="428"/>
      <c r="K28" s="422">
        <f t="shared" si="0"/>
        <v>1</v>
      </c>
      <c r="L28" s="622">
        <f t="shared" si="10"/>
        <v>0</v>
      </c>
      <c r="M28" s="427"/>
      <c r="N28" s="426"/>
      <c r="O28" s="426"/>
      <c r="P28" s="426"/>
      <c r="Q28" s="426"/>
      <c r="R28" s="425">
        <v>0</v>
      </c>
      <c r="S28" s="424"/>
      <c r="T28" s="421">
        <f t="shared" si="1"/>
        <v>0</v>
      </c>
      <c r="U28" s="420">
        <f t="shared" si="2"/>
        <v>0</v>
      </c>
      <c r="V28" s="410">
        <f t="shared" si="3"/>
        <v>0</v>
      </c>
      <c r="W28" s="410">
        <f t="shared" si="4"/>
        <v>0</v>
      </c>
      <c r="X28" s="411">
        <f t="shared" si="5"/>
        <v>0</v>
      </c>
      <c r="Y28" s="410">
        <f t="shared" si="6"/>
        <v>0</v>
      </c>
      <c r="Z28" s="410">
        <f t="shared" si="7"/>
        <v>0</v>
      </c>
      <c r="AA28" s="410">
        <f t="shared" si="8"/>
        <v>0</v>
      </c>
      <c r="AB28" s="410">
        <f t="shared" si="9"/>
        <v>0</v>
      </c>
    </row>
    <row r="29" spans="5:28">
      <c r="F29" s="829"/>
      <c r="G29" s="829"/>
      <c r="H29" s="829"/>
      <c r="I29" s="425">
        <v>0</v>
      </c>
      <c r="J29" s="428"/>
      <c r="K29" s="422">
        <f t="shared" si="0"/>
        <v>1</v>
      </c>
      <c r="L29" s="622">
        <f t="shared" si="10"/>
        <v>0</v>
      </c>
      <c r="M29" s="427"/>
      <c r="N29" s="426"/>
      <c r="O29" s="426"/>
      <c r="P29" s="426"/>
      <c r="Q29" s="426"/>
      <c r="R29" s="425">
        <v>0</v>
      </c>
      <c r="S29" s="424"/>
      <c r="T29" s="421">
        <f t="shared" si="1"/>
        <v>0</v>
      </c>
      <c r="U29" s="420">
        <f t="shared" si="2"/>
        <v>0</v>
      </c>
      <c r="V29" s="410">
        <f t="shared" si="3"/>
        <v>0</v>
      </c>
      <c r="W29" s="410">
        <f t="shared" si="4"/>
        <v>0</v>
      </c>
      <c r="X29" s="411">
        <f t="shared" si="5"/>
        <v>0</v>
      </c>
      <c r="Y29" s="410">
        <f t="shared" si="6"/>
        <v>0</v>
      </c>
      <c r="Z29" s="410">
        <f t="shared" si="7"/>
        <v>0</v>
      </c>
      <c r="AA29" s="410">
        <f t="shared" si="8"/>
        <v>0</v>
      </c>
      <c r="AB29" s="410">
        <f t="shared" si="9"/>
        <v>0</v>
      </c>
    </row>
    <row r="30" spans="5:28">
      <c r="F30" s="827" t="s">
        <v>894</v>
      </c>
      <c r="G30" s="828"/>
      <c r="H30" s="828"/>
      <c r="I30" s="725" t="s">
        <v>893</v>
      </c>
      <c r="J30" s="725" t="s">
        <v>892</v>
      </c>
      <c r="K30" s="419"/>
      <c r="L30" s="727"/>
      <c r="M30" s="727"/>
      <c r="N30" s="827"/>
      <c r="O30" s="828"/>
      <c r="P30" s="828"/>
      <c r="Q30" s="828"/>
      <c r="R30" s="727"/>
      <c r="S30" s="727"/>
      <c r="T30" s="418"/>
      <c r="U30" s="417"/>
      <c r="V30" s="415"/>
      <c r="W30" s="415"/>
      <c r="X30" s="416"/>
      <c r="Y30" s="415"/>
      <c r="Z30" s="415"/>
      <c r="AA30" s="415"/>
      <c r="AB30" s="415"/>
    </row>
    <row r="31" spans="5:28">
      <c r="F31" s="831" t="s">
        <v>92</v>
      </c>
      <c r="G31" s="832"/>
      <c r="H31" s="832"/>
      <c r="I31" s="623">
        <f>SUM(Y5:Y29)</f>
        <v>0</v>
      </c>
      <c r="J31" s="623">
        <f>SUM(U5:U29)</f>
        <v>0</v>
      </c>
      <c r="K31" s="413"/>
      <c r="L31" s="412"/>
      <c r="M31" s="412"/>
      <c r="N31" s="830" t="s">
        <v>891</v>
      </c>
      <c r="O31" s="830"/>
      <c r="P31" s="830"/>
      <c r="Q31" s="830"/>
      <c r="R31" s="830"/>
      <c r="S31" s="830"/>
      <c r="T31" s="830"/>
      <c r="U31" s="414"/>
      <c r="V31" s="414"/>
      <c r="W31" s="414"/>
      <c r="X31" s="414"/>
      <c r="Y31" s="414"/>
      <c r="Z31" s="414"/>
      <c r="AA31" s="414"/>
      <c r="AB31" s="414"/>
    </row>
    <row r="32" spans="5:28">
      <c r="F32" s="831" t="s">
        <v>90</v>
      </c>
      <c r="G32" s="832"/>
      <c r="H32" s="832"/>
      <c r="I32" s="623">
        <f>SUM(Z5:Z29)</f>
        <v>0</v>
      </c>
      <c r="J32" s="623">
        <f>SUM(V5:V29)</f>
        <v>0</v>
      </c>
      <c r="K32" s="413"/>
      <c r="L32" s="412"/>
      <c r="M32" s="412"/>
      <c r="N32" s="830"/>
      <c r="O32" s="830"/>
      <c r="P32" s="830"/>
      <c r="Q32" s="830"/>
      <c r="R32" s="830"/>
      <c r="S32" s="830"/>
      <c r="T32" s="830"/>
      <c r="U32" s="414"/>
      <c r="V32" s="414"/>
      <c r="W32" s="414"/>
      <c r="X32" s="414"/>
      <c r="Y32" s="414"/>
      <c r="Z32" s="414"/>
      <c r="AA32" s="414"/>
      <c r="AB32" s="414"/>
    </row>
    <row r="33" spans="6:28">
      <c r="F33" s="831" t="s">
        <v>89</v>
      </c>
      <c r="G33" s="832"/>
      <c r="H33" s="832"/>
      <c r="I33" s="623">
        <f>SUM(AA5:AA29)</f>
        <v>0</v>
      </c>
      <c r="J33" s="623">
        <f>SUM(W5:W29)</f>
        <v>0</v>
      </c>
      <c r="K33" s="413"/>
      <c r="L33" s="412"/>
      <c r="M33" s="412"/>
      <c r="N33" s="830"/>
      <c r="O33" s="830"/>
      <c r="P33" s="830"/>
      <c r="Q33" s="830"/>
      <c r="R33" s="830"/>
      <c r="S33" s="830"/>
      <c r="T33" s="830"/>
      <c r="U33" s="414"/>
      <c r="V33" s="414"/>
      <c r="W33" s="414"/>
      <c r="X33" s="414"/>
      <c r="Y33" s="414"/>
      <c r="Z33" s="414"/>
      <c r="AA33" s="414"/>
      <c r="AB33" s="414"/>
    </row>
    <row r="34" spans="6:28">
      <c r="F34" s="831" t="s">
        <v>88</v>
      </c>
      <c r="G34" s="832"/>
      <c r="H34" s="832"/>
      <c r="I34" s="623">
        <f>SUM(AB5:AB29)</f>
        <v>0</v>
      </c>
      <c r="J34" s="623">
        <f>SUM(X5:X29)</f>
        <v>0</v>
      </c>
      <c r="K34" s="413"/>
      <c r="L34" s="412"/>
      <c r="M34" s="412"/>
      <c r="N34" s="412"/>
      <c r="O34" s="412"/>
      <c r="P34" s="412"/>
      <c r="Q34" s="412"/>
      <c r="R34" s="412"/>
      <c r="S34" s="412"/>
      <c r="T34" s="412"/>
      <c r="U34" s="410"/>
      <c r="V34" s="410"/>
      <c r="W34" s="410"/>
      <c r="X34" s="411"/>
      <c r="Y34" s="410"/>
      <c r="Z34" s="410"/>
      <c r="AA34" s="410"/>
      <c r="AB34" s="410"/>
    </row>
  </sheetData>
  <sheetProtection algorithmName="SHA-512" hashValue="iTf1Q2MmNDcaTyPsO+pQXaLqX57bcX7EYiVy37zXoGONalPXqPlI6XQom+Cm3KQnb68N2YWmuBMmjS5X2+ymAA==" saltValue="HYENQ+tSsI8lcp4NwArU/Q==" spinCount="100000" sheet="1" objects="1" scenarios="1"/>
  <mergeCells count="36">
    <mergeCell ref="F27:H27"/>
    <mergeCell ref="R31:T33"/>
    <mergeCell ref="F32:H32"/>
    <mergeCell ref="F33:H33"/>
    <mergeCell ref="F34:H34"/>
    <mergeCell ref="F28:H28"/>
    <mergeCell ref="F29:H29"/>
    <mergeCell ref="F30:H30"/>
    <mergeCell ref="N30:Q30"/>
    <mergeCell ref="F31:H31"/>
    <mergeCell ref="N31:Q33"/>
    <mergeCell ref="F22:H22"/>
    <mergeCell ref="F23:H23"/>
    <mergeCell ref="F24:H24"/>
    <mergeCell ref="F25:H25"/>
    <mergeCell ref="F26:H26"/>
    <mergeCell ref="F17:H17"/>
    <mergeCell ref="F18:H18"/>
    <mergeCell ref="F19:H19"/>
    <mergeCell ref="F20:H20"/>
    <mergeCell ref="F21:H21"/>
    <mergeCell ref="F12:H12"/>
    <mergeCell ref="F13:H13"/>
    <mergeCell ref="F14:H14"/>
    <mergeCell ref="F15:H15"/>
    <mergeCell ref="F16:H16"/>
    <mergeCell ref="F7:H7"/>
    <mergeCell ref="F8:H8"/>
    <mergeCell ref="F9:H9"/>
    <mergeCell ref="F10:H10"/>
    <mergeCell ref="F11:H11"/>
    <mergeCell ref="F3:I3"/>
    <mergeCell ref="R3:U3"/>
    <mergeCell ref="F4:H4"/>
    <mergeCell ref="F5:H5"/>
    <mergeCell ref="F6:H6"/>
  </mergeCells>
  <phoneticPr fontId="26" type="noConversion"/>
  <pageMargins left="0.7" right="0.7" top="0.75" bottom="0.75" header="0.3" footer="0.3"/>
  <pageSetup scale="8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8920" r:id="rId4" name="BackButton">
              <controlPr defaultSize="0" print="0" autoFill="0" autoPict="0" macro="[0]!Sheet10.BackButton_Click1">
                <anchor moveWithCells="1" sizeWithCells="1">
                  <from>
                    <xdr:col>16</xdr:col>
                    <xdr:colOff>28575</xdr:colOff>
                    <xdr:row>1</xdr:row>
                    <xdr:rowOff>95250</xdr:rowOff>
                  </from>
                  <to>
                    <xdr:col>18</xdr:col>
                    <xdr:colOff>447675</xdr:colOff>
                    <xdr:row>2</xdr:row>
                    <xdr:rowOff>104775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42450D8F-27F5-4350-8388-C2DB3588BBF1}">
          <x14:formula1>
            <xm:f>RepayCalculator!$H$26:$H$29</xm:f>
          </x14:formula1>
          <xm:sqref>J5:J29</xm:sqref>
        </x14:dataValidation>
        <x14:dataValidation type="list" allowBlank="1" showInputMessage="1" showErrorMessage="1" xr:uid="{B6135880-0836-41CC-8239-AA8F97CF2C08}">
          <x14:formula1>
            <xm:f>RepayCalculator!$I$26:$I$30</xm:f>
          </x14:formula1>
          <xm:sqref>M5:M29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BCCC1-F03B-4FB1-AD8C-BE55C070DBD0}">
  <sheetPr codeName="Sheet19">
    <pageSetUpPr fitToPage="1"/>
  </sheetPr>
  <dimension ref="E1:AH34"/>
  <sheetViews>
    <sheetView topLeftCell="E2" zoomScaleNormal="100" workbookViewId="0">
      <selection activeCell="F5" sqref="F5:H5"/>
    </sheetView>
  </sheetViews>
  <sheetFormatPr defaultColWidth="8.7109375" defaultRowHeight="15"/>
  <cols>
    <col min="1" max="4" width="0" style="16" hidden="1" customWidth="1"/>
    <col min="5" max="5" width="8.7109375" style="16" customWidth="1"/>
    <col min="6" max="7" width="8.7109375" style="16"/>
    <col min="8" max="8" width="15.7109375" style="16" customWidth="1"/>
    <col min="9" max="9" width="13" style="16" customWidth="1"/>
    <col min="10" max="10" width="12.85546875" style="16" bestFit="1" customWidth="1"/>
    <col min="11" max="11" width="2.140625" style="16" hidden="1" customWidth="1"/>
    <col min="12" max="12" width="13.85546875" style="16" customWidth="1"/>
    <col min="13" max="13" width="21" style="16" bestFit="1" customWidth="1"/>
    <col min="14" max="17" width="5.85546875" style="16" bestFit="1" customWidth="1"/>
    <col min="18" max="18" width="15.7109375" style="16" bestFit="1" customWidth="1"/>
    <col min="19" max="19" width="15.5703125" style="16" customWidth="1"/>
    <col min="20" max="20" width="15.7109375" style="16" hidden="1" customWidth="1"/>
    <col min="21" max="24" width="12.85546875" style="16" hidden="1" customWidth="1"/>
    <col min="25" max="25" width="13.5703125" style="16" hidden="1" customWidth="1"/>
    <col min="26" max="26" width="10.85546875" style="16" hidden="1" customWidth="1"/>
    <col min="27" max="27" width="13.28515625" style="16" hidden="1" customWidth="1"/>
    <col min="28" max="28" width="10.85546875" style="16" hidden="1" customWidth="1"/>
    <col min="29" max="29" width="8.7109375" style="16" hidden="1" customWidth="1"/>
    <col min="30" max="16384" width="8.7109375" style="16"/>
  </cols>
  <sheetData>
    <row r="1" spans="5:34" hidden="1">
      <c r="T1" s="409"/>
    </row>
    <row r="2" spans="5:34">
      <c r="T2" s="409"/>
    </row>
    <row r="3" spans="5:34" ht="15" customHeight="1">
      <c r="E3" s="433"/>
      <c r="F3" s="826" t="s">
        <v>907</v>
      </c>
      <c r="G3" s="826"/>
      <c r="H3" s="826"/>
      <c r="I3" s="826"/>
      <c r="R3" s="826" t="s">
        <v>906</v>
      </c>
      <c r="S3" s="826"/>
      <c r="T3" s="826"/>
      <c r="U3" s="826"/>
      <c r="Y3" s="16" t="s">
        <v>893</v>
      </c>
    </row>
    <row r="4" spans="5:34">
      <c r="F4" s="827" t="s">
        <v>905</v>
      </c>
      <c r="G4" s="828"/>
      <c r="H4" s="828"/>
      <c r="I4" s="725" t="s">
        <v>904</v>
      </c>
      <c r="J4" s="725" t="s">
        <v>903</v>
      </c>
      <c r="K4" s="725"/>
      <c r="L4" s="725" t="s">
        <v>902</v>
      </c>
      <c r="M4" s="725" t="s">
        <v>901</v>
      </c>
      <c r="N4" s="725" t="s">
        <v>898</v>
      </c>
      <c r="O4" s="725" t="s">
        <v>897</v>
      </c>
      <c r="P4" s="725" t="s">
        <v>896</v>
      </c>
      <c r="Q4" s="725" t="s">
        <v>895</v>
      </c>
      <c r="R4" s="726" t="s">
        <v>900</v>
      </c>
      <c r="S4" s="726" t="s">
        <v>6</v>
      </c>
      <c r="T4" s="32" t="s">
        <v>899</v>
      </c>
      <c r="U4" s="20" t="s">
        <v>898</v>
      </c>
      <c r="V4" s="432" t="s">
        <v>897</v>
      </c>
      <c r="W4" s="431" t="s">
        <v>896</v>
      </c>
      <c r="X4" s="431" t="s">
        <v>895</v>
      </c>
      <c r="Y4" s="431" t="s">
        <v>898</v>
      </c>
      <c r="Z4" s="431" t="s">
        <v>897</v>
      </c>
      <c r="AA4" s="431" t="s">
        <v>896</v>
      </c>
      <c r="AB4" s="430" t="s">
        <v>895</v>
      </c>
      <c r="AC4" s="429"/>
    </row>
    <row r="5" spans="5:34">
      <c r="F5" s="829"/>
      <c r="G5" s="829"/>
      <c r="H5" s="829"/>
      <c r="I5" s="425">
        <v>0</v>
      </c>
      <c r="J5" s="428"/>
      <c r="K5" s="428">
        <f t="shared" ref="K5:K29" si="0">IF(J5="Weekly",52,IF(J5="Fortnightly",26,IF(J5="Monthly",12,IF(J5="Quarterly",4,1))))</f>
        <v>1</v>
      </c>
      <c r="L5" s="622">
        <f>I5*K5</f>
        <v>0</v>
      </c>
      <c r="M5" s="427"/>
      <c r="N5" s="426"/>
      <c r="O5" s="426"/>
      <c r="P5" s="426"/>
      <c r="Q5" s="426"/>
      <c r="R5" s="425">
        <v>0</v>
      </c>
      <c r="S5" s="424"/>
      <c r="T5" s="421">
        <f t="shared" ref="T5:T29" si="1">R5*S5</f>
        <v>0</v>
      </c>
      <c r="U5" s="420">
        <f t="shared" ref="U5:U29" si="2">T5*N5</f>
        <v>0</v>
      </c>
      <c r="V5" s="410">
        <f t="shared" ref="V5:V29" si="3">T5*O5</f>
        <v>0</v>
      </c>
      <c r="W5" s="410">
        <f t="shared" ref="W5:W29" si="4">T5*P5</f>
        <v>0</v>
      </c>
      <c r="X5" s="411">
        <f t="shared" ref="X5:X29" si="5">Q5*T5</f>
        <v>0</v>
      </c>
      <c r="Y5" s="410">
        <f t="shared" ref="Y5:Y29" si="6">N5*L5</f>
        <v>0</v>
      </c>
      <c r="Z5" s="410">
        <f t="shared" ref="Z5:Z29" si="7">O5*L5</f>
        <v>0</v>
      </c>
      <c r="AA5" s="410">
        <f t="shared" ref="AA5:AA29" si="8">P5*L5</f>
        <v>0</v>
      </c>
      <c r="AB5" s="410">
        <f t="shared" ref="AB5:AB29" si="9">Q5*L5</f>
        <v>0</v>
      </c>
    </row>
    <row r="6" spans="5:34">
      <c r="F6" s="829"/>
      <c r="G6" s="829"/>
      <c r="H6" s="829"/>
      <c r="I6" s="425">
        <v>0</v>
      </c>
      <c r="J6" s="428"/>
      <c r="K6" s="422">
        <f t="shared" si="0"/>
        <v>1</v>
      </c>
      <c r="L6" s="622">
        <f t="shared" ref="L6:L29" si="10">I6*K6</f>
        <v>0</v>
      </c>
      <c r="M6" s="427"/>
      <c r="N6" s="426"/>
      <c r="O6" s="426"/>
      <c r="P6" s="426"/>
      <c r="Q6" s="426"/>
      <c r="R6" s="425">
        <v>0</v>
      </c>
      <c r="S6" s="424"/>
      <c r="T6" s="421">
        <f t="shared" si="1"/>
        <v>0</v>
      </c>
      <c r="U6" s="420">
        <f t="shared" si="2"/>
        <v>0</v>
      </c>
      <c r="V6" s="410">
        <f t="shared" si="3"/>
        <v>0</v>
      </c>
      <c r="W6" s="410">
        <f t="shared" si="4"/>
        <v>0</v>
      </c>
      <c r="X6" s="411">
        <f t="shared" si="5"/>
        <v>0</v>
      </c>
      <c r="Y6" s="410">
        <f t="shared" si="6"/>
        <v>0</v>
      </c>
      <c r="Z6" s="410">
        <f t="shared" si="7"/>
        <v>0</v>
      </c>
      <c r="AA6" s="410">
        <f t="shared" si="8"/>
        <v>0</v>
      </c>
      <c r="AB6" s="410">
        <f t="shared" si="9"/>
        <v>0</v>
      </c>
    </row>
    <row r="7" spans="5:34" ht="15" customHeight="1">
      <c r="F7" s="829"/>
      <c r="G7" s="829"/>
      <c r="H7" s="829"/>
      <c r="I7" s="425">
        <v>0</v>
      </c>
      <c r="J7" s="428"/>
      <c r="K7" s="428">
        <f t="shared" si="0"/>
        <v>1</v>
      </c>
      <c r="L7" s="622">
        <f t="shared" si="10"/>
        <v>0</v>
      </c>
      <c r="M7" s="427"/>
      <c r="N7" s="426"/>
      <c r="O7" s="426"/>
      <c r="P7" s="426"/>
      <c r="Q7" s="426"/>
      <c r="R7" s="425">
        <v>0</v>
      </c>
      <c r="S7" s="424"/>
      <c r="T7" s="421">
        <f t="shared" si="1"/>
        <v>0</v>
      </c>
      <c r="U7" s="420">
        <f t="shared" si="2"/>
        <v>0</v>
      </c>
      <c r="V7" s="410">
        <f t="shared" si="3"/>
        <v>0</v>
      </c>
      <c r="W7" s="410">
        <f t="shared" si="4"/>
        <v>0</v>
      </c>
      <c r="X7" s="411">
        <f t="shared" si="5"/>
        <v>0</v>
      </c>
      <c r="Y7" s="410">
        <f t="shared" si="6"/>
        <v>0</v>
      </c>
      <c r="Z7" s="410">
        <f t="shared" si="7"/>
        <v>0</v>
      </c>
      <c r="AA7" s="410">
        <f t="shared" si="8"/>
        <v>0</v>
      </c>
      <c r="AB7" s="410">
        <f t="shared" si="9"/>
        <v>0</v>
      </c>
    </row>
    <row r="8" spans="5:34">
      <c r="F8" s="829"/>
      <c r="G8" s="829"/>
      <c r="H8" s="829"/>
      <c r="I8" s="425">
        <v>0</v>
      </c>
      <c r="J8" s="428"/>
      <c r="K8" s="422">
        <f t="shared" si="0"/>
        <v>1</v>
      </c>
      <c r="L8" s="622">
        <f t="shared" si="10"/>
        <v>0</v>
      </c>
      <c r="M8" s="427"/>
      <c r="N8" s="426"/>
      <c r="O8" s="426"/>
      <c r="P8" s="426"/>
      <c r="Q8" s="426"/>
      <c r="R8" s="425">
        <v>0</v>
      </c>
      <c r="S8" s="424"/>
      <c r="T8" s="421">
        <f t="shared" si="1"/>
        <v>0</v>
      </c>
      <c r="U8" s="420">
        <f t="shared" si="2"/>
        <v>0</v>
      </c>
      <c r="V8" s="410">
        <f t="shared" si="3"/>
        <v>0</v>
      </c>
      <c r="W8" s="410">
        <f t="shared" si="4"/>
        <v>0</v>
      </c>
      <c r="X8" s="411">
        <f t="shared" si="5"/>
        <v>0</v>
      </c>
      <c r="Y8" s="410">
        <f t="shared" si="6"/>
        <v>0</v>
      </c>
      <c r="Z8" s="410">
        <f t="shared" si="7"/>
        <v>0</v>
      </c>
      <c r="AA8" s="410">
        <f t="shared" si="8"/>
        <v>0</v>
      </c>
      <c r="AB8" s="410">
        <f t="shared" si="9"/>
        <v>0</v>
      </c>
    </row>
    <row r="9" spans="5:34">
      <c r="F9" s="829"/>
      <c r="G9" s="829"/>
      <c r="H9" s="829"/>
      <c r="I9" s="425">
        <v>0</v>
      </c>
      <c r="J9" s="428"/>
      <c r="K9" s="428">
        <f t="shared" si="0"/>
        <v>1</v>
      </c>
      <c r="L9" s="622">
        <f t="shared" si="10"/>
        <v>0</v>
      </c>
      <c r="M9" s="427"/>
      <c r="N9" s="426"/>
      <c r="O9" s="426"/>
      <c r="P9" s="426"/>
      <c r="Q9" s="426"/>
      <c r="R9" s="425">
        <v>0</v>
      </c>
      <c r="S9" s="424"/>
      <c r="T9" s="421">
        <f t="shared" si="1"/>
        <v>0</v>
      </c>
      <c r="U9" s="420">
        <f t="shared" si="2"/>
        <v>0</v>
      </c>
      <c r="V9" s="410">
        <f t="shared" si="3"/>
        <v>0</v>
      </c>
      <c r="W9" s="410">
        <f t="shared" si="4"/>
        <v>0</v>
      </c>
      <c r="X9" s="411">
        <f t="shared" si="5"/>
        <v>0</v>
      </c>
      <c r="Y9" s="410">
        <f t="shared" si="6"/>
        <v>0</v>
      </c>
      <c r="Z9" s="410">
        <f t="shared" si="7"/>
        <v>0</v>
      </c>
      <c r="AA9" s="410">
        <f t="shared" si="8"/>
        <v>0</v>
      </c>
      <c r="AB9" s="410">
        <f t="shared" si="9"/>
        <v>0</v>
      </c>
    </row>
    <row r="10" spans="5:34">
      <c r="F10" s="829"/>
      <c r="G10" s="829"/>
      <c r="H10" s="829"/>
      <c r="I10" s="425">
        <v>0</v>
      </c>
      <c r="J10" s="428"/>
      <c r="K10" s="422">
        <f t="shared" si="0"/>
        <v>1</v>
      </c>
      <c r="L10" s="622">
        <f t="shared" si="10"/>
        <v>0</v>
      </c>
      <c r="M10" s="427"/>
      <c r="N10" s="426"/>
      <c r="O10" s="426"/>
      <c r="P10" s="426"/>
      <c r="Q10" s="426"/>
      <c r="R10" s="425">
        <v>0</v>
      </c>
      <c r="S10" s="424"/>
      <c r="T10" s="421">
        <f t="shared" si="1"/>
        <v>0</v>
      </c>
      <c r="U10" s="420">
        <f t="shared" si="2"/>
        <v>0</v>
      </c>
      <c r="V10" s="410">
        <f t="shared" si="3"/>
        <v>0</v>
      </c>
      <c r="W10" s="410">
        <f t="shared" si="4"/>
        <v>0</v>
      </c>
      <c r="X10" s="411">
        <f t="shared" si="5"/>
        <v>0</v>
      </c>
      <c r="Y10" s="410">
        <f t="shared" si="6"/>
        <v>0</v>
      </c>
      <c r="Z10" s="410">
        <f t="shared" si="7"/>
        <v>0</v>
      </c>
      <c r="AA10" s="410">
        <f t="shared" si="8"/>
        <v>0</v>
      </c>
      <c r="AB10" s="410">
        <f t="shared" si="9"/>
        <v>0</v>
      </c>
    </row>
    <row r="11" spans="5:34" ht="15" customHeight="1">
      <c r="F11" s="829"/>
      <c r="G11" s="829"/>
      <c r="H11" s="829"/>
      <c r="I11" s="425">
        <v>0</v>
      </c>
      <c r="J11" s="428"/>
      <c r="K11" s="428">
        <f t="shared" si="0"/>
        <v>1</v>
      </c>
      <c r="L11" s="622">
        <f t="shared" si="10"/>
        <v>0</v>
      </c>
      <c r="M11" s="427"/>
      <c r="N11" s="426"/>
      <c r="O11" s="426"/>
      <c r="P11" s="426"/>
      <c r="Q11" s="426"/>
      <c r="R11" s="425">
        <v>0</v>
      </c>
      <c r="S11" s="424"/>
      <c r="T11" s="421">
        <f t="shared" si="1"/>
        <v>0</v>
      </c>
      <c r="U11" s="420">
        <f t="shared" si="2"/>
        <v>0</v>
      </c>
      <c r="V11" s="410">
        <f t="shared" si="3"/>
        <v>0</v>
      </c>
      <c r="W11" s="410">
        <f t="shared" si="4"/>
        <v>0</v>
      </c>
      <c r="X11" s="411">
        <f t="shared" si="5"/>
        <v>0</v>
      </c>
      <c r="Y11" s="410">
        <f t="shared" si="6"/>
        <v>0</v>
      </c>
      <c r="Z11" s="410">
        <f t="shared" si="7"/>
        <v>0</v>
      </c>
      <c r="AA11" s="410">
        <f t="shared" si="8"/>
        <v>0</v>
      </c>
      <c r="AB11" s="410">
        <f t="shared" si="9"/>
        <v>0</v>
      </c>
      <c r="AH11" s="428"/>
    </row>
    <row r="12" spans="5:34">
      <c r="F12" s="829"/>
      <c r="G12" s="829"/>
      <c r="H12" s="829"/>
      <c r="I12" s="425">
        <v>0</v>
      </c>
      <c r="J12" s="428"/>
      <c r="K12" s="422">
        <f t="shared" si="0"/>
        <v>1</v>
      </c>
      <c r="L12" s="622">
        <f t="shared" si="10"/>
        <v>0</v>
      </c>
      <c r="M12" s="427"/>
      <c r="N12" s="426"/>
      <c r="O12" s="426"/>
      <c r="P12" s="426"/>
      <c r="Q12" s="426"/>
      <c r="R12" s="425">
        <v>0</v>
      </c>
      <c r="S12" s="424"/>
      <c r="T12" s="421">
        <f t="shared" si="1"/>
        <v>0</v>
      </c>
      <c r="U12" s="420">
        <f t="shared" si="2"/>
        <v>0</v>
      </c>
      <c r="V12" s="410">
        <f t="shared" si="3"/>
        <v>0</v>
      </c>
      <c r="W12" s="410">
        <f t="shared" si="4"/>
        <v>0</v>
      </c>
      <c r="X12" s="411">
        <f t="shared" si="5"/>
        <v>0</v>
      </c>
      <c r="Y12" s="410">
        <f t="shared" si="6"/>
        <v>0</v>
      </c>
      <c r="Z12" s="410">
        <f t="shared" si="7"/>
        <v>0</v>
      </c>
      <c r="AA12" s="410">
        <f t="shared" si="8"/>
        <v>0</v>
      </c>
      <c r="AB12" s="410">
        <f t="shared" si="9"/>
        <v>0</v>
      </c>
    </row>
    <row r="13" spans="5:34">
      <c r="F13" s="829"/>
      <c r="G13" s="829"/>
      <c r="H13" s="829"/>
      <c r="I13" s="425">
        <v>0</v>
      </c>
      <c r="J13" s="428"/>
      <c r="K13" s="428">
        <f t="shared" si="0"/>
        <v>1</v>
      </c>
      <c r="L13" s="622">
        <f t="shared" si="10"/>
        <v>0</v>
      </c>
      <c r="M13" s="427"/>
      <c r="N13" s="426"/>
      <c r="O13" s="426"/>
      <c r="P13" s="426"/>
      <c r="Q13" s="426"/>
      <c r="R13" s="425">
        <v>0</v>
      </c>
      <c r="S13" s="424"/>
      <c r="T13" s="421">
        <f t="shared" si="1"/>
        <v>0</v>
      </c>
      <c r="U13" s="420">
        <f t="shared" si="2"/>
        <v>0</v>
      </c>
      <c r="V13" s="410">
        <f t="shared" si="3"/>
        <v>0</v>
      </c>
      <c r="W13" s="410">
        <f t="shared" si="4"/>
        <v>0</v>
      </c>
      <c r="X13" s="411">
        <f t="shared" si="5"/>
        <v>0</v>
      </c>
      <c r="Y13" s="410">
        <f t="shared" si="6"/>
        <v>0</v>
      </c>
      <c r="Z13" s="410">
        <f t="shared" si="7"/>
        <v>0</v>
      </c>
      <c r="AA13" s="410">
        <f t="shared" si="8"/>
        <v>0</v>
      </c>
      <c r="AB13" s="410">
        <f t="shared" si="9"/>
        <v>0</v>
      </c>
    </row>
    <row r="14" spans="5:34">
      <c r="F14" s="829"/>
      <c r="G14" s="829"/>
      <c r="H14" s="829"/>
      <c r="I14" s="425">
        <v>0</v>
      </c>
      <c r="J14" s="428"/>
      <c r="K14" s="422">
        <f t="shared" si="0"/>
        <v>1</v>
      </c>
      <c r="L14" s="622">
        <f t="shared" si="10"/>
        <v>0</v>
      </c>
      <c r="M14" s="427"/>
      <c r="N14" s="426"/>
      <c r="O14" s="426"/>
      <c r="P14" s="426"/>
      <c r="Q14" s="426"/>
      <c r="R14" s="425">
        <v>0</v>
      </c>
      <c r="S14" s="424"/>
      <c r="T14" s="421">
        <f t="shared" si="1"/>
        <v>0</v>
      </c>
      <c r="U14" s="420">
        <f t="shared" si="2"/>
        <v>0</v>
      </c>
      <c r="V14" s="410">
        <f t="shared" si="3"/>
        <v>0</v>
      </c>
      <c r="W14" s="410">
        <f t="shared" si="4"/>
        <v>0</v>
      </c>
      <c r="X14" s="411">
        <f t="shared" si="5"/>
        <v>0</v>
      </c>
      <c r="Y14" s="410">
        <f t="shared" si="6"/>
        <v>0</v>
      </c>
      <c r="Z14" s="410">
        <f t="shared" si="7"/>
        <v>0</v>
      </c>
      <c r="AA14" s="410">
        <f t="shared" si="8"/>
        <v>0</v>
      </c>
      <c r="AB14" s="410">
        <f t="shared" si="9"/>
        <v>0</v>
      </c>
    </row>
    <row r="15" spans="5:34" ht="15" customHeight="1">
      <c r="F15" s="829"/>
      <c r="G15" s="829"/>
      <c r="H15" s="829"/>
      <c r="I15" s="425">
        <v>0</v>
      </c>
      <c r="J15" s="428"/>
      <c r="K15" s="422">
        <f t="shared" si="0"/>
        <v>1</v>
      </c>
      <c r="L15" s="622">
        <f t="shared" si="10"/>
        <v>0</v>
      </c>
      <c r="M15" s="427"/>
      <c r="N15" s="426"/>
      <c r="O15" s="426"/>
      <c r="P15" s="426"/>
      <c r="Q15" s="426"/>
      <c r="R15" s="425">
        <v>0</v>
      </c>
      <c r="S15" s="424"/>
      <c r="T15" s="421">
        <f t="shared" si="1"/>
        <v>0</v>
      </c>
      <c r="U15" s="420">
        <f t="shared" si="2"/>
        <v>0</v>
      </c>
      <c r="V15" s="410">
        <f t="shared" si="3"/>
        <v>0</v>
      </c>
      <c r="W15" s="410">
        <f t="shared" si="4"/>
        <v>0</v>
      </c>
      <c r="X15" s="411">
        <f t="shared" si="5"/>
        <v>0</v>
      </c>
      <c r="Y15" s="410">
        <f t="shared" si="6"/>
        <v>0</v>
      </c>
      <c r="Z15" s="410">
        <f t="shared" si="7"/>
        <v>0</v>
      </c>
      <c r="AA15" s="410">
        <f t="shared" si="8"/>
        <v>0</v>
      </c>
      <c r="AB15" s="410">
        <f t="shared" si="9"/>
        <v>0</v>
      </c>
    </row>
    <row r="16" spans="5:34">
      <c r="F16" s="829"/>
      <c r="G16" s="829"/>
      <c r="H16" s="829"/>
      <c r="I16" s="425">
        <v>0</v>
      </c>
      <c r="J16" s="428"/>
      <c r="K16" s="422">
        <f t="shared" si="0"/>
        <v>1</v>
      </c>
      <c r="L16" s="622">
        <f t="shared" si="10"/>
        <v>0</v>
      </c>
      <c r="M16" s="427"/>
      <c r="N16" s="426"/>
      <c r="O16" s="426"/>
      <c r="P16" s="426"/>
      <c r="Q16" s="426"/>
      <c r="R16" s="425">
        <v>0</v>
      </c>
      <c r="S16" s="424"/>
      <c r="T16" s="421">
        <f t="shared" si="1"/>
        <v>0</v>
      </c>
      <c r="U16" s="420">
        <f t="shared" si="2"/>
        <v>0</v>
      </c>
      <c r="V16" s="410">
        <f t="shared" si="3"/>
        <v>0</v>
      </c>
      <c r="W16" s="410">
        <f t="shared" si="4"/>
        <v>0</v>
      </c>
      <c r="X16" s="411">
        <f t="shared" si="5"/>
        <v>0</v>
      </c>
      <c r="Y16" s="410">
        <f t="shared" si="6"/>
        <v>0</v>
      </c>
      <c r="Z16" s="410">
        <f t="shared" si="7"/>
        <v>0</v>
      </c>
      <c r="AA16" s="410">
        <f t="shared" si="8"/>
        <v>0</v>
      </c>
      <c r="AB16" s="410">
        <f t="shared" si="9"/>
        <v>0</v>
      </c>
    </row>
    <row r="17" spans="5:28">
      <c r="F17" s="829"/>
      <c r="G17" s="829"/>
      <c r="H17" s="829"/>
      <c r="I17" s="425">
        <v>0</v>
      </c>
      <c r="J17" s="428"/>
      <c r="K17" s="422">
        <f t="shared" si="0"/>
        <v>1</v>
      </c>
      <c r="L17" s="622">
        <f t="shared" si="10"/>
        <v>0</v>
      </c>
      <c r="M17" s="427"/>
      <c r="N17" s="426"/>
      <c r="O17" s="426"/>
      <c r="P17" s="426"/>
      <c r="Q17" s="426"/>
      <c r="R17" s="425">
        <v>0</v>
      </c>
      <c r="S17" s="424"/>
      <c r="T17" s="421">
        <f t="shared" si="1"/>
        <v>0</v>
      </c>
      <c r="U17" s="420">
        <f t="shared" si="2"/>
        <v>0</v>
      </c>
      <c r="V17" s="410">
        <f t="shared" si="3"/>
        <v>0</v>
      </c>
      <c r="W17" s="410">
        <f t="shared" si="4"/>
        <v>0</v>
      </c>
      <c r="X17" s="411">
        <f t="shared" si="5"/>
        <v>0</v>
      </c>
      <c r="Y17" s="410">
        <f t="shared" si="6"/>
        <v>0</v>
      </c>
      <c r="Z17" s="410">
        <f t="shared" si="7"/>
        <v>0</v>
      </c>
      <c r="AA17" s="410">
        <f t="shared" si="8"/>
        <v>0</v>
      </c>
      <c r="AB17" s="410">
        <f t="shared" si="9"/>
        <v>0</v>
      </c>
    </row>
    <row r="18" spans="5:28">
      <c r="F18" s="829"/>
      <c r="G18" s="829"/>
      <c r="H18" s="829"/>
      <c r="I18" s="425">
        <v>0</v>
      </c>
      <c r="J18" s="428"/>
      <c r="K18" s="422">
        <f t="shared" si="0"/>
        <v>1</v>
      </c>
      <c r="L18" s="622">
        <f t="shared" si="10"/>
        <v>0</v>
      </c>
      <c r="M18" s="427"/>
      <c r="N18" s="426"/>
      <c r="O18" s="426"/>
      <c r="P18" s="426"/>
      <c r="Q18" s="426"/>
      <c r="R18" s="425">
        <v>0</v>
      </c>
      <c r="S18" s="424"/>
      <c r="T18" s="421">
        <f t="shared" si="1"/>
        <v>0</v>
      </c>
      <c r="U18" s="420">
        <f t="shared" si="2"/>
        <v>0</v>
      </c>
      <c r="V18" s="410">
        <f t="shared" si="3"/>
        <v>0</v>
      </c>
      <c r="W18" s="410">
        <f t="shared" si="4"/>
        <v>0</v>
      </c>
      <c r="X18" s="411">
        <f t="shared" si="5"/>
        <v>0</v>
      </c>
      <c r="Y18" s="410">
        <f t="shared" si="6"/>
        <v>0</v>
      </c>
      <c r="Z18" s="410">
        <f t="shared" si="7"/>
        <v>0</v>
      </c>
      <c r="AA18" s="410">
        <f t="shared" si="8"/>
        <v>0</v>
      </c>
      <c r="AB18" s="410">
        <f t="shared" si="9"/>
        <v>0</v>
      </c>
    </row>
    <row r="19" spans="5:28" ht="15" customHeight="1">
      <c r="F19" s="829"/>
      <c r="G19" s="829"/>
      <c r="H19" s="829"/>
      <c r="I19" s="425">
        <v>0</v>
      </c>
      <c r="J19" s="428"/>
      <c r="K19" s="422">
        <f t="shared" si="0"/>
        <v>1</v>
      </c>
      <c r="L19" s="622">
        <f t="shared" si="10"/>
        <v>0</v>
      </c>
      <c r="M19" s="427"/>
      <c r="N19" s="426"/>
      <c r="O19" s="426"/>
      <c r="P19" s="426"/>
      <c r="Q19" s="426"/>
      <c r="R19" s="425">
        <v>0</v>
      </c>
      <c r="S19" s="424"/>
      <c r="T19" s="421">
        <f t="shared" si="1"/>
        <v>0</v>
      </c>
      <c r="U19" s="420">
        <f t="shared" si="2"/>
        <v>0</v>
      </c>
      <c r="V19" s="410">
        <f t="shared" si="3"/>
        <v>0</v>
      </c>
      <c r="W19" s="410">
        <f t="shared" si="4"/>
        <v>0</v>
      </c>
      <c r="X19" s="411">
        <f t="shared" si="5"/>
        <v>0</v>
      </c>
      <c r="Y19" s="410">
        <f t="shared" si="6"/>
        <v>0</v>
      </c>
      <c r="Z19" s="410">
        <f t="shared" si="7"/>
        <v>0</v>
      </c>
      <c r="AA19" s="410">
        <f t="shared" si="8"/>
        <v>0</v>
      </c>
      <c r="AB19" s="410">
        <f t="shared" si="9"/>
        <v>0</v>
      </c>
    </row>
    <row r="20" spans="5:28">
      <c r="F20" s="829"/>
      <c r="G20" s="829"/>
      <c r="H20" s="829"/>
      <c r="I20" s="425">
        <v>0</v>
      </c>
      <c r="J20" s="428"/>
      <c r="K20" s="422">
        <f t="shared" si="0"/>
        <v>1</v>
      </c>
      <c r="L20" s="622">
        <f t="shared" si="10"/>
        <v>0</v>
      </c>
      <c r="M20" s="427"/>
      <c r="N20" s="426"/>
      <c r="O20" s="426"/>
      <c r="P20" s="426"/>
      <c r="Q20" s="426"/>
      <c r="R20" s="425">
        <v>0</v>
      </c>
      <c r="S20" s="424"/>
      <c r="T20" s="421">
        <f t="shared" si="1"/>
        <v>0</v>
      </c>
      <c r="U20" s="420">
        <f t="shared" si="2"/>
        <v>0</v>
      </c>
      <c r="V20" s="410">
        <f t="shared" si="3"/>
        <v>0</v>
      </c>
      <c r="W20" s="410">
        <f t="shared" si="4"/>
        <v>0</v>
      </c>
      <c r="X20" s="411">
        <f t="shared" si="5"/>
        <v>0</v>
      </c>
      <c r="Y20" s="410">
        <f t="shared" si="6"/>
        <v>0</v>
      </c>
      <c r="Z20" s="410">
        <f t="shared" si="7"/>
        <v>0</v>
      </c>
      <c r="AA20" s="410">
        <f t="shared" si="8"/>
        <v>0</v>
      </c>
      <c r="AB20" s="410">
        <f t="shared" si="9"/>
        <v>0</v>
      </c>
    </row>
    <row r="21" spans="5:28">
      <c r="E21" s="423"/>
      <c r="F21" s="829"/>
      <c r="G21" s="829"/>
      <c r="H21" s="829"/>
      <c r="I21" s="425">
        <v>0</v>
      </c>
      <c r="J21" s="428"/>
      <c r="K21" s="422">
        <f t="shared" si="0"/>
        <v>1</v>
      </c>
      <c r="L21" s="622">
        <f t="shared" si="10"/>
        <v>0</v>
      </c>
      <c r="M21" s="427"/>
      <c r="N21" s="426"/>
      <c r="O21" s="426"/>
      <c r="P21" s="426"/>
      <c r="Q21" s="426"/>
      <c r="R21" s="425">
        <v>0</v>
      </c>
      <c r="S21" s="424"/>
      <c r="T21" s="421">
        <f t="shared" si="1"/>
        <v>0</v>
      </c>
      <c r="U21" s="420">
        <f t="shared" si="2"/>
        <v>0</v>
      </c>
      <c r="V21" s="410">
        <f t="shared" si="3"/>
        <v>0</v>
      </c>
      <c r="W21" s="410">
        <f t="shared" si="4"/>
        <v>0</v>
      </c>
      <c r="X21" s="411">
        <f t="shared" si="5"/>
        <v>0</v>
      </c>
      <c r="Y21" s="410">
        <f t="shared" si="6"/>
        <v>0</v>
      </c>
      <c r="Z21" s="410">
        <f t="shared" si="7"/>
        <v>0</v>
      </c>
      <c r="AA21" s="410">
        <f t="shared" si="8"/>
        <v>0</v>
      </c>
      <c r="AB21" s="410">
        <f t="shared" si="9"/>
        <v>0</v>
      </c>
    </row>
    <row r="22" spans="5:28">
      <c r="E22" s="423"/>
      <c r="F22" s="829"/>
      <c r="G22" s="829"/>
      <c r="H22" s="829"/>
      <c r="I22" s="425">
        <v>0</v>
      </c>
      <c r="J22" s="428"/>
      <c r="K22" s="422">
        <f t="shared" si="0"/>
        <v>1</v>
      </c>
      <c r="L22" s="622">
        <f t="shared" si="10"/>
        <v>0</v>
      </c>
      <c r="M22" s="427"/>
      <c r="N22" s="426"/>
      <c r="O22" s="426"/>
      <c r="P22" s="426"/>
      <c r="Q22" s="426"/>
      <c r="R22" s="425">
        <v>0</v>
      </c>
      <c r="S22" s="424"/>
      <c r="T22" s="421">
        <f t="shared" si="1"/>
        <v>0</v>
      </c>
      <c r="U22" s="420">
        <f t="shared" si="2"/>
        <v>0</v>
      </c>
      <c r="V22" s="410">
        <f t="shared" si="3"/>
        <v>0</v>
      </c>
      <c r="W22" s="410">
        <f t="shared" si="4"/>
        <v>0</v>
      </c>
      <c r="X22" s="411">
        <f t="shared" si="5"/>
        <v>0</v>
      </c>
      <c r="Y22" s="410">
        <f t="shared" si="6"/>
        <v>0</v>
      </c>
      <c r="Z22" s="410">
        <f t="shared" si="7"/>
        <v>0</v>
      </c>
      <c r="AA22" s="410">
        <f t="shared" si="8"/>
        <v>0</v>
      </c>
      <c r="AB22" s="410">
        <f t="shared" si="9"/>
        <v>0</v>
      </c>
    </row>
    <row r="23" spans="5:28" ht="15" customHeight="1">
      <c r="E23" s="423"/>
      <c r="F23" s="829"/>
      <c r="G23" s="829"/>
      <c r="H23" s="829"/>
      <c r="I23" s="425">
        <v>0</v>
      </c>
      <c r="J23" s="428"/>
      <c r="K23" s="422">
        <f t="shared" si="0"/>
        <v>1</v>
      </c>
      <c r="L23" s="622">
        <f t="shared" si="10"/>
        <v>0</v>
      </c>
      <c r="M23" s="427"/>
      <c r="N23" s="426"/>
      <c r="O23" s="426"/>
      <c r="P23" s="426"/>
      <c r="Q23" s="426"/>
      <c r="R23" s="425">
        <v>0</v>
      </c>
      <c r="S23" s="424"/>
      <c r="T23" s="421">
        <f t="shared" si="1"/>
        <v>0</v>
      </c>
      <c r="U23" s="420">
        <f t="shared" si="2"/>
        <v>0</v>
      </c>
      <c r="V23" s="410">
        <f t="shared" si="3"/>
        <v>0</v>
      </c>
      <c r="W23" s="410">
        <f t="shared" si="4"/>
        <v>0</v>
      </c>
      <c r="X23" s="411">
        <f t="shared" si="5"/>
        <v>0</v>
      </c>
      <c r="Y23" s="410">
        <f t="shared" si="6"/>
        <v>0</v>
      </c>
      <c r="Z23" s="410">
        <f t="shared" si="7"/>
        <v>0</v>
      </c>
      <c r="AA23" s="410">
        <f t="shared" si="8"/>
        <v>0</v>
      </c>
      <c r="AB23" s="410">
        <f t="shared" si="9"/>
        <v>0</v>
      </c>
    </row>
    <row r="24" spans="5:28">
      <c r="E24" s="423"/>
      <c r="F24" s="829"/>
      <c r="G24" s="829"/>
      <c r="H24" s="829"/>
      <c r="I24" s="425">
        <v>0</v>
      </c>
      <c r="J24" s="428"/>
      <c r="K24" s="422">
        <f t="shared" si="0"/>
        <v>1</v>
      </c>
      <c r="L24" s="622">
        <f t="shared" si="10"/>
        <v>0</v>
      </c>
      <c r="M24" s="427"/>
      <c r="N24" s="426"/>
      <c r="O24" s="426"/>
      <c r="P24" s="426"/>
      <c r="Q24" s="426"/>
      <c r="R24" s="425">
        <v>0</v>
      </c>
      <c r="S24" s="424"/>
      <c r="T24" s="421">
        <f t="shared" si="1"/>
        <v>0</v>
      </c>
      <c r="U24" s="420">
        <f t="shared" si="2"/>
        <v>0</v>
      </c>
      <c r="V24" s="410">
        <f t="shared" si="3"/>
        <v>0</v>
      </c>
      <c r="W24" s="410">
        <f t="shared" si="4"/>
        <v>0</v>
      </c>
      <c r="X24" s="411">
        <f t="shared" si="5"/>
        <v>0</v>
      </c>
      <c r="Y24" s="410">
        <f t="shared" si="6"/>
        <v>0</v>
      </c>
      <c r="Z24" s="410">
        <f t="shared" si="7"/>
        <v>0</v>
      </c>
      <c r="AA24" s="410">
        <f t="shared" si="8"/>
        <v>0</v>
      </c>
      <c r="AB24" s="410">
        <f t="shared" si="9"/>
        <v>0</v>
      </c>
    </row>
    <row r="25" spans="5:28">
      <c r="F25" s="829"/>
      <c r="G25" s="829"/>
      <c r="H25" s="829"/>
      <c r="I25" s="425">
        <v>0</v>
      </c>
      <c r="J25" s="428"/>
      <c r="K25" s="422">
        <f t="shared" si="0"/>
        <v>1</v>
      </c>
      <c r="L25" s="622">
        <f t="shared" si="10"/>
        <v>0</v>
      </c>
      <c r="M25" s="427"/>
      <c r="N25" s="426"/>
      <c r="O25" s="426"/>
      <c r="P25" s="426"/>
      <c r="Q25" s="426"/>
      <c r="R25" s="425">
        <v>0</v>
      </c>
      <c r="S25" s="424"/>
      <c r="T25" s="421">
        <f t="shared" si="1"/>
        <v>0</v>
      </c>
      <c r="U25" s="420">
        <f t="shared" si="2"/>
        <v>0</v>
      </c>
      <c r="V25" s="410">
        <f t="shared" si="3"/>
        <v>0</v>
      </c>
      <c r="W25" s="410">
        <f t="shared" si="4"/>
        <v>0</v>
      </c>
      <c r="X25" s="411">
        <f t="shared" si="5"/>
        <v>0</v>
      </c>
      <c r="Y25" s="410">
        <f t="shared" si="6"/>
        <v>0</v>
      </c>
      <c r="Z25" s="410">
        <f t="shared" si="7"/>
        <v>0</v>
      </c>
      <c r="AA25" s="410">
        <f t="shared" si="8"/>
        <v>0</v>
      </c>
      <c r="AB25" s="410">
        <f t="shared" si="9"/>
        <v>0</v>
      </c>
    </row>
    <row r="26" spans="5:28">
      <c r="F26" s="829"/>
      <c r="G26" s="829"/>
      <c r="H26" s="829"/>
      <c r="I26" s="425">
        <v>0</v>
      </c>
      <c r="J26" s="428"/>
      <c r="K26" s="422">
        <f t="shared" si="0"/>
        <v>1</v>
      </c>
      <c r="L26" s="622">
        <f t="shared" si="10"/>
        <v>0</v>
      </c>
      <c r="M26" s="427"/>
      <c r="N26" s="426"/>
      <c r="O26" s="426"/>
      <c r="P26" s="426"/>
      <c r="Q26" s="426"/>
      <c r="R26" s="425">
        <v>0</v>
      </c>
      <c r="S26" s="424"/>
      <c r="T26" s="421">
        <f t="shared" si="1"/>
        <v>0</v>
      </c>
      <c r="U26" s="420">
        <f t="shared" si="2"/>
        <v>0</v>
      </c>
      <c r="V26" s="410">
        <f t="shared" si="3"/>
        <v>0</v>
      </c>
      <c r="W26" s="410">
        <f t="shared" si="4"/>
        <v>0</v>
      </c>
      <c r="X26" s="411">
        <f t="shared" si="5"/>
        <v>0</v>
      </c>
      <c r="Y26" s="410">
        <f t="shared" si="6"/>
        <v>0</v>
      </c>
      <c r="Z26" s="410">
        <f t="shared" si="7"/>
        <v>0</v>
      </c>
      <c r="AA26" s="410">
        <f t="shared" si="8"/>
        <v>0</v>
      </c>
      <c r="AB26" s="410">
        <f t="shared" si="9"/>
        <v>0</v>
      </c>
    </row>
    <row r="27" spans="5:28">
      <c r="F27" s="829"/>
      <c r="G27" s="829"/>
      <c r="H27" s="829"/>
      <c r="I27" s="425">
        <v>0</v>
      </c>
      <c r="J27" s="428"/>
      <c r="K27" s="422">
        <f t="shared" si="0"/>
        <v>1</v>
      </c>
      <c r="L27" s="622">
        <f t="shared" si="10"/>
        <v>0</v>
      </c>
      <c r="M27" s="427"/>
      <c r="N27" s="426"/>
      <c r="O27" s="426"/>
      <c r="P27" s="426"/>
      <c r="Q27" s="426"/>
      <c r="R27" s="425">
        <v>0</v>
      </c>
      <c r="S27" s="424"/>
      <c r="T27" s="421">
        <f t="shared" si="1"/>
        <v>0</v>
      </c>
      <c r="U27" s="420">
        <f t="shared" si="2"/>
        <v>0</v>
      </c>
      <c r="V27" s="410">
        <f t="shared" si="3"/>
        <v>0</v>
      </c>
      <c r="W27" s="410">
        <f t="shared" si="4"/>
        <v>0</v>
      </c>
      <c r="X27" s="411">
        <f t="shared" si="5"/>
        <v>0</v>
      </c>
      <c r="Y27" s="410">
        <f t="shared" si="6"/>
        <v>0</v>
      </c>
      <c r="Z27" s="410">
        <f t="shared" si="7"/>
        <v>0</v>
      </c>
      <c r="AA27" s="410">
        <f t="shared" si="8"/>
        <v>0</v>
      </c>
      <c r="AB27" s="410">
        <f t="shared" si="9"/>
        <v>0</v>
      </c>
    </row>
    <row r="28" spans="5:28">
      <c r="F28" s="829"/>
      <c r="G28" s="829"/>
      <c r="H28" s="829"/>
      <c r="I28" s="425">
        <v>0</v>
      </c>
      <c r="J28" s="428"/>
      <c r="K28" s="422">
        <f t="shared" si="0"/>
        <v>1</v>
      </c>
      <c r="L28" s="622">
        <f t="shared" si="10"/>
        <v>0</v>
      </c>
      <c r="M28" s="427"/>
      <c r="N28" s="426"/>
      <c r="O28" s="426"/>
      <c r="P28" s="426"/>
      <c r="Q28" s="426"/>
      <c r="R28" s="425">
        <v>0</v>
      </c>
      <c r="S28" s="424"/>
      <c r="T28" s="421">
        <f t="shared" si="1"/>
        <v>0</v>
      </c>
      <c r="U28" s="420">
        <f t="shared" si="2"/>
        <v>0</v>
      </c>
      <c r="V28" s="410">
        <f t="shared" si="3"/>
        <v>0</v>
      </c>
      <c r="W28" s="410">
        <f t="shared" si="4"/>
        <v>0</v>
      </c>
      <c r="X28" s="411">
        <f t="shared" si="5"/>
        <v>0</v>
      </c>
      <c r="Y28" s="410">
        <f t="shared" si="6"/>
        <v>0</v>
      </c>
      <c r="Z28" s="410">
        <f t="shared" si="7"/>
        <v>0</v>
      </c>
      <c r="AA28" s="410">
        <f t="shared" si="8"/>
        <v>0</v>
      </c>
      <c r="AB28" s="410">
        <f t="shared" si="9"/>
        <v>0</v>
      </c>
    </row>
    <row r="29" spans="5:28">
      <c r="F29" s="829"/>
      <c r="G29" s="829"/>
      <c r="H29" s="829"/>
      <c r="I29" s="425">
        <v>0</v>
      </c>
      <c r="J29" s="428"/>
      <c r="K29" s="422">
        <f t="shared" si="0"/>
        <v>1</v>
      </c>
      <c r="L29" s="622">
        <f t="shared" si="10"/>
        <v>0</v>
      </c>
      <c r="M29" s="427"/>
      <c r="N29" s="426"/>
      <c r="O29" s="426"/>
      <c r="P29" s="426"/>
      <c r="Q29" s="426"/>
      <c r="R29" s="425">
        <v>0</v>
      </c>
      <c r="S29" s="424"/>
      <c r="T29" s="421">
        <f t="shared" si="1"/>
        <v>0</v>
      </c>
      <c r="U29" s="420">
        <f t="shared" si="2"/>
        <v>0</v>
      </c>
      <c r="V29" s="410">
        <f t="shared" si="3"/>
        <v>0</v>
      </c>
      <c r="W29" s="410">
        <f t="shared" si="4"/>
        <v>0</v>
      </c>
      <c r="X29" s="411">
        <f t="shared" si="5"/>
        <v>0</v>
      </c>
      <c r="Y29" s="410">
        <f t="shared" si="6"/>
        <v>0</v>
      </c>
      <c r="Z29" s="410">
        <f t="shared" si="7"/>
        <v>0</v>
      </c>
      <c r="AA29" s="410">
        <f t="shared" si="8"/>
        <v>0</v>
      </c>
      <c r="AB29" s="410">
        <f t="shared" si="9"/>
        <v>0</v>
      </c>
    </row>
    <row r="30" spans="5:28">
      <c r="F30" s="827" t="s">
        <v>894</v>
      </c>
      <c r="G30" s="828"/>
      <c r="H30" s="828"/>
      <c r="I30" s="725" t="s">
        <v>893</v>
      </c>
      <c r="J30" s="725" t="s">
        <v>892</v>
      </c>
      <c r="K30" s="419"/>
      <c r="L30" s="727"/>
      <c r="M30" s="727"/>
      <c r="N30" s="827"/>
      <c r="O30" s="828"/>
      <c r="P30" s="828"/>
      <c r="Q30" s="828"/>
      <c r="R30" s="727"/>
      <c r="S30" s="727"/>
      <c r="T30" s="418"/>
      <c r="U30" s="417"/>
      <c r="V30" s="415"/>
      <c r="W30" s="415"/>
      <c r="X30" s="416"/>
      <c r="Y30" s="415"/>
      <c r="Z30" s="415"/>
      <c r="AA30" s="415"/>
      <c r="AB30" s="415"/>
    </row>
    <row r="31" spans="5:28">
      <c r="F31" s="831" t="s">
        <v>92</v>
      </c>
      <c r="G31" s="832"/>
      <c r="H31" s="832"/>
      <c r="I31" s="623">
        <f>SUM(Y5:Y29)</f>
        <v>0</v>
      </c>
      <c r="J31" s="623">
        <f>SUM(U5:U29)</f>
        <v>0</v>
      </c>
      <c r="K31" s="413"/>
      <c r="L31" s="412"/>
      <c r="M31" s="412"/>
      <c r="N31" s="830" t="s">
        <v>891</v>
      </c>
      <c r="O31" s="830"/>
      <c r="P31" s="830"/>
      <c r="Q31" s="830"/>
      <c r="R31" s="830"/>
      <c r="S31" s="830"/>
      <c r="T31" s="830"/>
      <c r="U31" s="414"/>
      <c r="V31" s="414"/>
      <c r="W31" s="414"/>
      <c r="X31" s="414"/>
      <c r="Y31" s="414"/>
      <c r="Z31" s="414"/>
      <c r="AA31" s="414"/>
      <c r="AB31" s="414"/>
    </row>
    <row r="32" spans="5:28">
      <c r="F32" s="831" t="s">
        <v>90</v>
      </c>
      <c r="G32" s="832"/>
      <c r="H32" s="832"/>
      <c r="I32" s="623">
        <f>SUM(Z5:Z29)</f>
        <v>0</v>
      </c>
      <c r="J32" s="623">
        <f>SUM(V5:V29)</f>
        <v>0</v>
      </c>
      <c r="K32" s="413"/>
      <c r="L32" s="412"/>
      <c r="M32" s="412"/>
      <c r="N32" s="830"/>
      <c r="O32" s="830"/>
      <c r="P32" s="830"/>
      <c r="Q32" s="830"/>
      <c r="R32" s="830"/>
      <c r="S32" s="830"/>
      <c r="T32" s="830"/>
      <c r="U32" s="414"/>
      <c r="V32" s="414"/>
      <c r="W32" s="414"/>
      <c r="X32" s="414"/>
      <c r="Y32" s="414"/>
      <c r="Z32" s="414"/>
      <c r="AA32" s="414"/>
      <c r="AB32" s="414"/>
    </row>
    <row r="33" spans="6:28">
      <c r="F33" s="831" t="s">
        <v>89</v>
      </c>
      <c r="G33" s="832"/>
      <c r="H33" s="832"/>
      <c r="I33" s="623">
        <f>SUM(AA5:AA29)</f>
        <v>0</v>
      </c>
      <c r="J33" s="623">
        <f>SUM(W5:W29)</f>
        <v>0</v>
      </c>
      <c r="K33" s="413"/>
      <c r="L33" s="412"/>
      <c r="M33" s="412"/>
      <c r="N33" s="830"/>
      <c r="O33" s="830"/>
      <c r="P33" s="830"/>
      <c r="Q33" s="830"/>
      <c r="R33" s="830"/>
      <c r="S33" s="830"/>
      <c r="T33" s="830"/>
      <c r="U33" s="414"/>
      <c r="V33" s="414"/>
      <c r="W33" s="414"/>
      <c r="X33" s="414"/>
      <c r="Y33" s="414"/>
      <c r="Z33" s="414"/>
      <c r="AA33" s="414"/>
      <c r="AB33" s="414"/>
    </row>
    <row r="34" spans="6:28">
      <c r="F34" s="831" t="s">
        <v>88</v>
      </c>
      <c r="G34" s="832"/>
      <c r="H34" s="832"/>
      <c r="I34" s="623">
        <f>SUM(AB5:AB29)</f>
        <v>0</v>
      </c>
      <c r="J34" s="623">
        <f>SUM(X5:X29)</f>
        <v>0</v>
      </c>
      <c r="K34" s="413"/>
      <c r="L34" s="412"/>
      <c r="M34" s="412"/>
      <c r="N34" s="412"/>
      <c r="O34" s="412"/>
      <c r="P34" s="412"/>
      <c r="Q34" s="412"/>
      <c r="R34" s="412"/>
      <c r="S34" s="412"/>
      <c r="T34" s="412"/>
      <c r="U34" s="410"/>
      <c r="V34" s="410"/>
      <c r="W34" s="410"/>
      <c r="X34" s="411"/>
      <c r="Y34" s="410"/>
      <c r="Z34" s="410"/>
      <c r="AA34" s="410"/>
      <c r="AB34" s="410"/>
    </row>
  </sheetData>
  <sheetProtection algorithmName="SHA-512" hashValue="V6NBWMZbyucCkAud+6PYhoYlLFC2hxNEc45YKEMh2+74/JKM27iRUlWZNX4/872j8W4XNYejqE2jPH2rDQbQCw==" saltValue="fwGVXPFvwp29PVUXhelpzA==" spinCount="100000" sheet="1" objects="1" scenarios="1"/>
  <mergeCells count="36">
    <mergeCell ref="F7:H7"/>
    <mergeCell ref="F3:I3"/>
    <mergeCell ref="R3:U3"/>
    <mergeCell ref="F4:H4"/>
    <mergeCell ref="F5:H5"/>
    <mergeCell ref="F6:H6"/>
    <mergeCell ref="F19:H19"/>
    <mergeCell ref="F8:H8"/>
    <mergeCell ref="F9:H9"/>
    <mergeCell ref="F10:H10"/>
    <mergeCell ref="F11:H11"/>
    <mergeCell ref="F12:H12"/>
    <mergeCell ref="F13:H13"/>
    <mergeCell ref="F14:H14"/>
    <mergeCell ref="F15:H15"/>
    <mergeCell ref="F16:H16"/>
    <mergeCell ref="F17:H17"/>
    <mergeCell ref="F18:H18"/>
    <mergeCell ref="N30:Q30"/>
    <mergeCell ref="F20:H20"/>
    <mergeCell ref="F21:H21"/>
    <mergeCell ref="F22:H22"/>
    <mergeCell ref="F23:H23"/>
    <mergeCell ref="F24:H24"/>
    <mergeCell ref="F25:H25"/>
    <mergeCell ref="F26:H26"/>
    <mergeCell ref="F27:H27"/>
    <mergeCell ref="F28:H28"/>
    <mergeCell ref="F29:H29"/>
    <mergeCell ref="F30:H30"/>
    <mergeCell ref="N31:Q33"/>
    <mergeCell ref="R31:T33"/>
    <mergeCell ref="F32:H32"/>
    <mergeCell ref="F33:H33"/>
    <mergeCell ref="F34:H34"/>
    <mergeCell ref="F31:H31"/>
  </mergeCells>
  <pageMargins left="0.7" right="0.7" top="0.75" bottom="0.75" header="0.3" footer="0.3"/>
  <pageSetup scale="8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BackButtonSME">
              <controlPr defaultSize="0" print="0" autoFill="0" autoPict="0" macro="[0]!Sheet19.BackButtonSME_Click1">
                <anchor moveWithCells="1" sizeWithCells="1">
                  <from>
                    <xdr:col>16</xdr:col>
                    <xdr:colOff>28575</xdr:colOff>
                    <xdr:row>1</xdr:row>
                    <xdr:rowOff>95250</xdr:rowOff>
                  </from>
                  <to>
                    <xdr:col>18</xdr:col>
                    <xdr:colOff>447675</xdr:colOff>
                    <xdr:row>2</xdr:row>
                    <xdr:rowOff>104775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4838D20A-72E2-4772-BD2A-8D3171508B3D}">
          <x14:formula1>
            <xm:f>RepayCalculator!$I$26:$I$30</xm:f>
          </x14:formula1>
          <xm:sqref>M5:M29</xm:sqref>
        </x14:dataValidation>
        <x14:dataValidation type="list" allowBlank="1" showInputMessage="1" showErrorMessage="1" xr:uid="{304E64C0-F2A3-4D97-A356-19670032AF5F}">
          <x14:formula1>
            <xm:f>RepayCalculator!$H$26:$H$29</xm:f>
          </x14:formula1>
          <xm:sqref>J5:J29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D5C83-3840-493E-A52A-A368606DA8EF}">
  <sheetPr codeName="Sheet11">
    <pageSetUpPr fitToPage="1"/>
  </sheetPr>
  <dimension ref="J20:M40"/>
  <sheetViews>
    <sheetView showGridLines="0" zoomScale="115" zoomScaleNormal="115" workbookViewId="0">
      <selection activeCell="E16" sqref="E16"/>
    </sheetView>
  </sheetViews>
  <sheetFormatPr defaultColWidth="9.140625" defaultRowHeight="15"/>
  <cols>
    <col min="1" max="2" width="9.140625" style="19"/>
    <col min="3" max="3" width="32.42578125" style="19" customWidth="1"/>
    <col min="4" max="4" width="15.140625" style="19" bestFit="1" customWidth="1"/>
    <col min="5" max="5" width="6.140625" style="19" customWidth="1"/>
    <col min="6" max="6" width="11.5703125" style="19" customWidth="1"/>
    <col min="7" max="7" width="13.7109375" style="19" customWidth="1"/>
    <col min="8" max="9" width="12.85546875" style="19" customWidth="1"/>
    <col min="10" max="10" width="13.42578125" style="19" customWidth="1"/>
    <col min="11" max="11" width="13.140625" style="19" customWidth="1"/>
    <col min="12" max="13" width="9.140625" style="19" customWidth="1"/>
    <col min="14" max="16384" width="9.140625" style="19"/>
  </cols>
  <sheetData>
    <row r="20" spans="10:13">
      <c r="J20" s="457"/>
      <c r="K20" s="458"/>
    </row>
    <row r="21" spans="10:13">
      <c r="J21" s="457"/>
      <c r="K21" s="458"/>
      <c r="M21" s="459"/>
    </row>
    <row r="22" spans="10:13">
      <c r="J22" s="457"/>
      <c r="K22" s="458"/>
    </row>
    <row r="23" spans="10:13">
      <c r="J23" s="457"/>
      <c r="K23" s="458"/>
    </row>
    <row r="24" spans="10:13">
      <c r="J24" s="457"/>
      <c r="K24" s="458"/>
    </row>
    <row r="25" spans="10:13">
      <c r="J25" s="457"/>
    </row>
    <row r="26" spans="10:13" ht="15" hidden="1" customHeight="1"/>
    <row r="27" spans="10:13" ht="15" hidden="1" customHeight="1"/>
    <row r="28" spans="10:13" ht="15" hidden="1" customHeight="1"/>
    <row r="29" spans="10:13" ht="15" hidden="1" customHeight="1"/>
    <row r="30" spans="10:13" ht="15" hidden="1" customHeight="1"/>
    <row r="31" spans="10:13" ht="15" hidden="1" customHeight="1"/>
    <row r="32" spans="10:13" ht="15" hidden="1" customHeight="1"/>
    <row r="33" spans="10:11" ht="15" hidden="1" customHeight="1"/>
    <row r="34" spans="10:11" ht="15" hidden="1" customHeight="1"/>
    <row r="35" spans="10:11" ht="15" hidden="1" customHeight="1">
      <c r="J35" s="457"/>
      <c r="K35" s="458"/>
    </row>
    <row r="36" spans="10:11" ht="15" hidden="1" customHeight="1">
      <c r="J36" s="457"/>
      <c r="K36" s="458"/>
    </row>
    <row r="37" spans="10:11" ht="15" hidden="1" customHeight="1">
      <c r="J37" s="457"/>
      <c r="K37" s="458"/>
    </row>
    <row r="38" spans="10:11" ht="15" hidden="1" customHeight="1">
      <c r="J38" s="457"/>
      <c r="K38" s="458"/>
    </row>
    <row r="39" spans="10:11" ht="15" hidden="1" customHeight="1">
      <c r="J39" s="457"/>
      <c r="K39" s="458"/>
    </row>
    <row r="40" spans="10:11" ht="15" hidden="1" customHeight="1"/>
  </sheetData>
  <sheetProtection algorithmName="SHA-512" hashValue="QBMKG3/hz/As8fRrf8u13Sci6AQs0ywEidu54DNDCD2sTQm/JjD2gAoRZ29nh41XoAo11U0Z5LXYXsX29gjULQ==" saltValue="LLznBxhYa/CjhshDIcP6Dg==" spinCount="100000" sheet="1" objects="1" scenarios="1"/>
  <phoneticPr fontId="95" type="noConversion"/>
  <dataValidations count="2">
    <dataValidation type="whole" allowBlank="1" showInputMessage="1" showErrorMessage="1" promptTitle="Loan term" prompt="Please input a term between 1 - 30 years" sqref="G9" xr:uid="{BBC24B52-1D8C-4FDF-B242-5E95ACBA4899}">
      <formula1>1</formula1>
      <formula2>30</formula2>
    </dataValidation>
    <dataValidation allowBlank="1" showInputMessage="1" sqref="G48" xr:uid="{C2AB4996-8F1D-4645-BB1D-88EA62D4EEC2}"/>
  </dataValidations>
  <pageMargins left="0.7" right="0.7" top="0.75" bottom="0.75" header="0.3" footer="0.3"/>
  <pageSetup paperSize="9" scale="71" fitToHeight="0" orientation="portrait" cellComments="atEnd" horizontalDpi="1200" verticalDpi="120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1DED5DCE-E6ED-417C-BE8D-EC81F372AD0F}">
          <x14:formula1>
            <xm:f>RepayCalculator!$G$12:$G$22</xm:f>
          </x14:formula1>
          <xm:sqref>F63:F66</xm:sqref>
        </x14:dataValidation>
        <x14:dataValidation type="list" allowBlank="1" showInputMessage="1" showErrorMessage="1" xr:uid="{236B9E93-96F5-4351-9183-C30DE26C41BA}">
          <x14:formula1>
            <xm:f>RepayCalculator!$E$12:$E$13</xm:f>
          </x14:formula1>
          <xm:sqref>E63:E66</xm:sqref>
        </x14:dataValidation>
        <x14:dataValidation type="list" allowBlank="1" showInputMessage="1" showErrorMessage="1" xr:uid="{CC88BFBE-FED7-46EB-B003-D348D96780DF}">
          <x14:formula1>
            <xm:f>RepayCalculator!$F$12:$F$15</xm:f>
          </x14:formula1>
          <xm:sqref>D63:D66</xm:sqref>
        </x14:dataValidation>
        <x14:dataValidation type="list" allowBlank="1" showInputMessage="1" showErrorMessage="1" xr:uid="{3D443896-A75F-4A1A-B42D-0F4BB176CCD2}">
          <x14:formula1>
            <xm:f>RepayCalculator!$C$12:$C$20</xm:f>
          </x14:formula1>
          <xm:sqref>C109:C119</xm:sqref>
        </x14:dataValidation>
        <x14:dataValidation type="list" allowBlank="1" showInputMessage="1" showErrorMessage="1" xr:uid="{E16E9905-7DA4-4DBD-AE87-2AFA19D9C5B1}">
          <x14:formula1>
            <xm:f>RepayCalculator!$D$34:$D$39</xm:f>
          </x14:formula1>
          <xm:sqref>C20:C24</xm:sqref>
        </x14:dataValidation>
        <x14:dataValidation type="list" allowBlank="1" showInputMessage="1" showErrorMessage="1" xr:uid="{0D19CC14-BED2-436B-9F0C-95C5622093A5}">
          <x14:formula1>
            <xm:f>RepayCalculator!$E$34:$E$39</xm:f>
          </x14:formula1>
          <xm:sqref>C27:C31</xm:sqref>
        </x14:dataValidation>
        <x14:dataValidation type="list" allowBlank="1" showInputMessage="1" showErrorMessage="1" xr:uid="{3354DC9A-BDA8-406D-AEE3-F494F2DA7505}">
          <x14:formula1>
            <xm:f>RepayCalculator!$J$12:$J$19</xm:f>
          </x14:formula1>
          <xm:sqref>C35:C39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96810-EFF1-4C07-A725-60531DE365FF}">
  <sheetPr codeName="Sheet4">
    <pageSetUpPr fitToPage="1"/>
  </sheetPr>
  <dimension ref="A1:I74"/>
  <sheetViews>
    <sheetView showGridLines="0" zoomScale="115" zoomScaleNormal="115" workbookViewId="0">
      <selection activeCell="B1" sqref="B1"/>
    </sheetView>
  </sheetViews>
  <sheetFormatPr defaultColWidth="9.140625" defaultRowHeight="12.75"/>
  <cols>
    <col min="1" max="1" width="4.5703125" style="359" customWidth="1"/>
    <col min="2" max="2" width="18.28515625" style="345" customWidth="1"/>
    <col min="3" max="3" width="14.28515625" style="345" customWidth="1"/>
    <col min="4" max="4" width="9.7109375" style="345" bestFit="1" customWidth="1"/>
    <col min="5" max="5" width="8.140625" style="345" customWidth="1"/>
    <col min="6" max="6" width="19" style="345" customWidth="1"/>
    <col min="7" max="7" width="12.7109375" style="345" customWidth="1"/>
    <col min="8" max="8" width="20" style="345" customWidth="1"/>
    <col min="9" max="9" width="4.5703125" style="359" customWidth="1"/>
    <col min="10" max="16384" width="9.140625" style="345"/>
  </cols>
  <sheetData>
    <row r="1" spans="1:9" ht="87" customHeight="1">
      <c r="A1" s="343"/>
      <c r="B1" s="344"/>
      <c r="C1" s="344"/>
      <c r="D1" s="344"/>
      <c r="E1" s="344"/>
      <c r="F1" s="344"/>
      <c r="G1" s="344"/>
      <c r="H1" s="344"/>
      <c r="I1" s="343"/>
    </row>
    <row r="2" spans="1:9">
      <c r="A2" s="343"/>
      <c r="B2" s="344"/>
      <c r="C2" s="344"/>
      <c r="D2" s="344"/>
      <c r="E2" s="344"/>
      <c r="F2" s="344"/>
      <c r="G2" s="344"/>
      <c r="H2" s="344"/>
      <c r="I2" s="343"/>
    </row>
    <row r="3" spans="1:9">
      <c r="A3" s="343"/>
      <c r="B3" s="346" t="s">
        <v>809</v>
      </c>
      <c r="C3" s="342"/>
      <c r="D3" s="344"/>
      <c r="E3" s="344"/>
      <c r="F3" s="344"/>
      <c r="G3" s="344"/>
      <c r="H3" s="344"/>
      <c r="I3" s="343"/>
    </row>
    <row r="4" spans="1:9">
      <c r="A4" s="343"/>
      <c r="B4" s="344"/>
      <c r="C4" s="344"/>
      <c r="D4" s="344"/>
      <c r="E4" s="344"/>
      <c r="F4" s="344"/>
      <c r="G4" s="344"/>
      <c r="H4" s="344"/>
      <c r="I4" s="343"/>
    </row>
    <row r="5" spans="1:9" ht="15.75">
      <c r="A5" s="343"/>
      <c r="B5" s="347" t="s">
        <v>808</v>
      </c>
      <c r="C5" s="344"/>
      <c r="D5" s="344"/>
      <c r="E5" s="344"/>
      <c r="F5" s="344"/>
      <c r="G5" s="344"/>
      <c r="H5" s="344"/>
      <c r="I5" s="343"/>
    </row>
    <row r="6" spans="1:9">
      <c r="A6" s="343"/>
      <c r="B6" s="346" t="s">
        <v>92</v>
      </c>
      <c r="C6" s="344"/>
      <c r="D6" s="344"/>
      <c r="E6" s="344"/>
      <c r="F6" s="344"/>
      <c r="G6" s="344"/>
      <c r="H6" s="344"/>
      <c r="I6" s="343"/>
    </row>
    <row r="7" spans="1:9">
      <c r="A7" s="343"/>
      <c r="B7" s="344" t="s">
        <v>807</v>
      </c>
      <c r="C7" s="833"/>
      <c r="D7" s="834"/>
      <c r="E7" s="834"/>
      <c r="F7" s="834"/>
      <c r="G7" s="834"/>
      <c r="H7" s="835"/>
      <c r="I7" s="343"/>
    </row>
    <row r="8" spans="1:9">
      <c r="A8" s="343"/>
      <c r="B8" s="346" t="s">
        <v>806</v>
      </c>
      <c r="C8" s="348"/>
      <c r="D8" s="348"/>
      <c r="E8" s="348"/>
      <c r="F8" s="348"/>
      <c r="G8" s="348"/>
      <c r="H8" s="348"/>
      <c r="I8" s="343"/>
    </row>
    <row r="9" spans="1:9">
      <c r="A9" s="343"/>
      <c r="B9" s="349" t="s">
        <v>802</v>
      </c>
      <c r="C9" s="349" t="s">
        <v>801</v>
      </c>
      <c r="D9" s="349" t="s">
        <v>800</v>
      </c>
      <c r="E9" s="349" t="s">
        <v>799</v>
      </c>
      <c r="F9" s="350" t="s">
        <v>805</v>
      </c>
      <c r="G9" s="349" t="s">
        <v>797</v>
      </c>
      <c r="H9" s="351" t="s">
        <v>804</v>
      </c>
      <c r="I9" s="343"/>
    </row>
    <row r="10" spans="1:9">
      <c r="A10" s="343"/>
      <c r="B10" s="340"/>
      <c r="C10" s="340"/>
      <c r="D10" s="352">
        <f>C10-B10</f>
        <v>0</v>
      </c>
      <c r="E10" s="352">
        <f>D10/7</f>
        <v>0</v>
      </c>
      <c r="F10" s="341"/>
      <c r="G10" s="353">
        <f>IFERROR(F10/E10,0)</f>
        <v>0</v>
      </c>
      <c r="H10" s="354">
        <f>G10*52</f>
        <v>0</v>
      </c>
      <c r="I10" s="343"/>
    </row>
    <row r="11" spans="1:9">
      <c r="A11" s="343"/>
      <c r="B11" s="346" t="s">
        <v>803</v>
      </c>
      <c r="C11" s="344"/>
      <c r="D11" s="344"/>
      <c r="E11" s="344"/>
      <c r="F11" s="344"/>
      <c r="G11" s="344"/>
      <c r="H11" s="344"/>
      <c r="I11" s="343"/>
    </row>
    <row r="12" spans="1:9">
      <c r="A12" s="343"/>
      <c r="B12" s="349" t="s">
        <v>802</v>
      </c>
      <c r="C12" s="349" t="s">
        <v>801</v>
      </c>
      <c r="D12" s="349" t="s">
        <v>800</v>
      </c>
      <c r="E12" s="349" t="s">
        <v>799</v>
      </c>
      <c r="F12" s="350" t="s">
        <v>798</v>
      </c>
      <c r="G12" s="349" t="s">
        <v>797</v>
      </c>
      <c r="H12" s="351" t="s">
        <v>796</v>
      </c>
      <c r="I12" s="343"/>
    </row>
    <row r="13" spans="1:9">
      <c r="A13" s="343"/>
      <c r="B13" s="340"/>
      <c r="C13" s="340"/>
      <c r="D13" s="352">
        <f>C13-B13</f>
        <v>0</v>
      </c>
      <c r="E13" s="352">
        <f>D13/7</f>
        <v>0</v>
      </c>
      <c r="F13" s="341"/>
      <c r="G13" s="353">
        <f>IFERROR(F13/E13,0)</f>
        <v>0</v>
      </c>
      <c r="H13" s="354">
        <f>G13*52</f>
        <v>0</v>
      </c>
      <c r="I13" s="343"/>
    </row>
    <row r="14" spans="1:9">
      <c r="A14" s="343"/>
      <c r="B14" s="344"/>
      <c r="C14" s="344"/>
      <c r="D14" s="344"/>
      <c r="E14" s="344"/>
      <c r="F14" s="344"/>
      <c r="G14" s="344"/>
      <c r="H14" s="344"/>
      <c r="I14" s="343"/>
    </row>
    <row r="15" spans="1:9">
      <c r="A15" s="343"/>
      <c r="B15" s="344"/>
      <c r="C15" s="344"/>
      <c r="D15" s="344"/>
      <c r="E15" s="344"/>
      <c r="F15" s="344" t="s">
        <v>795</v>
      </c>
      <c r="G15" s="344"/>
      <c r="H15" s="355">
        <f>IFERROR(H13/H10,0)</f>
        <v>0</v>
      </c>
      <c r="I15" s="343"/>
    </row>
    <row r="16" spans="1:9" ht="13.5" thickBot="1">
      <c r="A16" s="343"/>
      <c r="B16" s="356"/>
      <c r="C16" s="356"/>
      <c r="D16" s="356"/>
      <c r="E16" s="356"/>
      <c r="F16" s="356"/>
      <c r="G16" s="356"/>
      <c r="H16" s="357" t="str">
        <f>IF($H$15&gt;11%,"Super Contributions exceed 11%, confirm with employer rate of super","")</f>
        <v/>
      </c>
      <c r="I16" s="345"/>
    </row>
    <row r="17" spans="1:9" ht="13.5" thickTop="1">
      <c r="A17" s="343"/>
      <c r="B17" s="344"/>
      <c r="C17" s="344"/>
      <c r="D17" s="344"/>
      <c r="E17" s="344"/>
      <c r="F17" s="344"/>
      <c r="G17" s="344"/>
      <c r="H17" s="344"/>
      <c r="I17" s="343"/>
    </row>
    <row r="18" spans="1:9">
      <c r="A18" s="343"/>
      <c r="B18" s="346" t="s">
        <v>90</v>
      </c>
      <c r="C18" s="344"/>
      <c r="D18" s="344"/>
      <c r="E18" s="344"/>
      <c r="F18" s="344"/>
      <c r="G18" s="344"/>
      <c r="H18" s="344"/>
      <c r="I18" s="343"/>
    </row>
    <row r="19" spans="1:9">
      <c r="A19" s="343"/>
      <c r="B19" s="344" t="s">
        <v>807</v>
      </c>
      <c r="C19" s="833"/>
      <c r="D19" s="834"/>
      <c r="E19" s="834"/>
      <c r="F19" s="834"/>
      <c r="G19" s="834"/>
      <c r="H19" s="835"/>
      <c r="I19" s="343"/>
    </row>
    <row r="20" spans="1:9">
      <c r="A20" s="343"/>
      <c r="B20" s="346" t="s">
        <v>806</v>
      </c>
      <c r="C20" s="348"/>
      <c r="D20" s="348"/>
      <c r="E20" s="348"/>
      <c r="F20" s="348"/>
      <c r="G20" s="348"/>
      <c r="H20" s="348"/>
      <c r="I20" s="343"/>
    </row>
    <row r="21" spans="1:9">
      <c r="A21" s="343"/>
      <c r="B21" s="349" t="s">
        <v>802</v>
      </c>
      <c r="C21" s="349" t="s">
        <v>801</v>
      </c>
      <c r="D21" s="349" t="s">
        <v>800</v>
      </c>
      <c r="E21" s="349" t="s">
        <v>799</v>
      </c>
      <c r="F21" s="350" t="s">
        <v>805</v>
      </c>
      <c r="G21" s="349" t="s">
        <v>797</v>
      </c>
      <c r="H21" s="351" t="s">
        <v>804</v>
      </c>
      <c r="I21" s="343"/>
    </row>
    <row r="22" spans="1:9">
      <c r="A22" s="343"/>
      <c r="B22" s="340"/>
      <c r="C22" s="340"/>
      <c r="D22" s="352">
        <f>C22-B22</f>
        <v>0</v>
      </c>
      <c r="E22" s="352">
        <f>D22/7</f>
        <v>0</v>
      </c>
      <c r="F22" s="339"/>
      <c r="G22" s="353">
        <f>IFERROR(F22/E22,0)</f>
        <v>0</v>
      </c>
      <c r="H22" s="354">
        <f>G22*52</f>
        <v>0</v>
      </c>
      <c r="I22" s="343"/>
    </row>
    <row r="23" spans="1:9">
      <c r="A23" s="343"/>
      <c r="B23" s="346" t="s">
        <v>803</v>
      </c>
      <c r="C23" s="344"/>
      <c r="D23" s="344"/>
      <c r="E23" s="344"/>
      <c r="F23" s="344"/>
      <c r="G23" s="344"/>
      <c r="H23" s="344"/>
      <c r="I23" s="343"/>
    </row>
    <row r="24" spans="1:9">
      <c r="A24" s="343"/>
      <c r="B24" s="349" t="s">
        <v>802</v>
      </c>
      <c r="C24" s="349" t="s">
        <v>801</v>
      </c>
      <c r="D24" s="349" t="s">
        <v>800</v>
      </c>
      <c r="E24" s="349" t="s">
        <v>799</v>
      </c>
      <c r="F24" s="350" t="s">
        <v>798</v>
      </c>
      <c r="G24" s="349" t="s">
        <v>797</v>
      </c>
      <c r="H24" s="351" t="s">
        <v>796</v>
      </c>
      <c r="I24" s="343"/>
    </row>
    <row r="25" spans="1:9">
      <c r="A25" s="343"/>
      <c r="B25" s="340"/>
      <c r="C25" s="340"/>
      <c r="D25" s="352">
        <f>C25-B25</f>
        <v>0</v>
      </c>
      <c r="E25" s="352">
        <f>D25/7</f>
        <v>0</v>
      </c>
      <c r="F25" s="339"/>
      <c r="G25" s="353">
        <f>IFERROR(F25/E25,0)</f>
        <v>0</v>
      </c>
      <c r="H25" s="354">
        <f>G25*52</f>
        <v>0</v>
      </c>
      <c r="I25" s="343"/>
    </row>
    <row r="26" spans="1:9">
      <c r="A26" s="343"/>
      <c r="B26" s="344"/>
      <c r="C26" s="344"/>
      <c r="D26" s="344"/>
      <c r="E26" s="344"/>
      <c r="F26" s="344"/>
      <c r="G26" s="344"/>
      <c r="I26" s="343"/>
    </row>
    <row r="27" spans="1:9">
      <c r="A27" s="343"/>
      <c r="B27" s="344"/>
      <c r="C27" s="344"/>
      <c r="D27" s="344"/>
      <c r="E27" s="344"/>
      <c r="F27" s="344" t="s">
        <v>795</v>
      </c>
      <c r="G27" s="344"/>
      <c r="H27" s="355">
        <f>IFERROR(H25/H22,0)</f>
        <v>0</v>
      </c>
      <c r="I27" s="343"/>
    </row>
    <row r="28" spans="1:9" ht="13.5" thickBot="1">
      <c r="A28" s="343"/>
      <c r="B28" s="356"/>
      <c r="C28" s="356"/>
      <c r="D28" s="356"/>
      <c r="E28" s="356"/>
      <c r="F28" s="356"/>
      <c r="G28" s="356"/>
      <c r="H28" s="357" t="str">
        <f>IF($H$27&gt;11%,"Super Contributions exceed 11%, confirm with employer rate of super","")</f>
        <v/>
      </c>
      <c r="I28" s="343"/>
    </row>
    <row r="29" spans="1:9" ht="13.5" thickTop="1">
      <c r="A29" s="343"/>
      <c r="B29" s="344"/>
      <c r="C29" s="344"/>
      <c r="D29" s="344"/>
      <c r="E29" s="344"/>
      <c r="F29" s="344"/>
      <c r="G29" s="344"/>
      <c r="H29" s="344"/>
      <c r="I29" s="343"/>
    </row>
    <row r="30" spans="1:9">
      <c r="A30" s="343"/>
      <c r="B30" s="346" t="s">
        <v>89</v>
      </c>
      <c r="C30" s="344"/>
      <c r="D30" s="344"/>
      <c r="E30" s="344"/>
      <c r="F30" s="344"/>
      <c r="G30" s="344"/>
      <c r="H30" s="344"/>
      <c r="I30" s="343"/>
    </row>
    <row r="31" spans="1:9">
      <c r="A31" s="343"/>
      <c r="B31" s="344" t="s">
        <v>807</v>
      </c>
      <c r="C31" s="833"/>
      <c r="D31" s="834"/>
      <c r="E31" s="834"/>
      <c r="F31" s="834"/>
      <c r="G31" s="834"/>
      <c r="H31" s="835"/>
      <c r="I31" s="343"/>
    </row>
    <row r="32" spans="1:9">
      <c r="A32" s="343"/>
      <c r="B32" s="346" t="s">
        <v>806</v>
      </c>
      <c r="C32" s="348"/>
      <c r="D32" s="348"/>
      <c r="E32" s="348"/>
      <c r="F32" s="348"/>
      <c r="G32" s="348"/>
      <c r="H32" s="348"/>
      <c r="I32" s="343"/>
    </row>
    <row r="33" spans="1:9">
      <c r="A33" s="343"/>
      <c r="B33" s="349" t="s">
        <v>802</v>
      </c>
      <c r="C33" s="349" t="s">
        <v>801</v>
      </c>
      <c r="D33" s="349" t="s">
        <v>800</v>
      </c>
      <c r="E33" s="349" t="s">
        <v>799</v>
      </c>
      <c r="F33" s="350" t="s">
        <v>805</v>
      </c>
      <c r="G33" s="349" t="s">
        <v>797</v>
      </c>
      <c r="H33" s="351" t="s">
        <v>804</v>
      </c>
      <c r="I33" s="343"/>
    </row>
    <row r="34" spans="1:9">
      <c r="A34" s="343"/>
      <c r="B34" s="340"/>
      <c r="C34" s="340"/>
      <c r="D34" s="352">
        <f>C34-B34</f>
        <v>0</v>
      </c>
      <c r="E34" s="352">
        <f>D34/7</f>
        <v>0</v>
      </c>
      <c r="F34" s="339"/>
      <c r="G34" s="353">
        <f>IFERROR(F34/E34,0)</f>
        <v>0</v>
      </c>
      <c r="H34" s="354">
        <f>G34*52</f>
        <v>0</v>
      </c>
      <c r="I34" s="343"/>
    </row>
    <row r="35" spans="1:9">
      <c r="A35" s="343"/>
      <c r="B35" s="346" t="s">
        <v>803</v>
      </c>
      <c r="C35" s="344"/>
      <c r="D35" s="344"/>
      <c r="E35" s="344"/>
      <c r="F35" s="344"/>
      <c r="G35" s="344"/>
      <c r="H35" s="344"/>
      <c r="I35" s="343"/>
    </row>
    <row r="36" spans="1:9">
      <c r="A36" s="343"/>
      <c r="B36" s="349" t="s">
        <v>802</v>
      </c>
      <c r="C36" s="349" t="s">
        <v>801</v>
      </c>
      <c r="D36" s="349" t="s">
        <v>800</v>
      </c>
      <c r="E36" s="349" t="s">
        <v>799</v>
      </c>
      <c r="F36" s="350" t="s">
        <v>798</v>
      </c>
      <c r="G36" s="349" t="s">
        <v>797</v>
      </c>
      <c r="H36" s="351" t="s">
        <v>796</v>
      </c>
      <c r="I36" s="343"/>
    </row>
    <row r="37" spans="1:9">
      <c r="A37" s="343"/>
      <c r="B37" s="340"/>
      <c r="C37" s="340"/>
      <c r="D37" s="352">
        <f>C37-B37</f>
        <v>0</v>
      </c>
      <c r="E37" s="352">
        <f>D37/7</f>
        <v>0</v>
      </c>
      <c r="F37" s="339"/>
      <c r="G37" s="353">
        <f>IFERROR(F37/E37,0)</f>
        <v>0</v>
      </c>
      <c r="H37" s="354">
        <f>G37*52</f>
        <v>0</v>
      </c>
      <c r="I37" s="343"/>
    </row>
    <row r="38" spans="1:9">
      <c r="A38" s="343"/>
      <c r="B38" s="344"/>
      <c r="C38" s="344"/>
      <c r="D38" s="344"/>
      <c r="E38" s="344"/>
      <c r="F38" s="344"/>
      <c r="G38" s="344"/>
      <c r="I38" s="343"/>
    </row>
    <row r="39" spans="1:9">
      <c r="A39" s="343"/>
      <c r="B39" s="344"/>
      <c r="C39" s="344"/>
      <c r="D39" s="344"/>
      <c r="E39" s="344"/>
      <c r="F39" s="344" t="s">
        <v>795</v>
      </c>
      <c r="G39" s="344"/>
      <c r="H39" s="355">
        <f>IFERROR(H37/H34,0)</f>
        <v>0</v>
      </c>
      <c r="I39" s="343"/>
    </row>
    <row r="40" spans="1:9" ht="13.5" thickBot="1">
      <c r="A40" s="343"/>
      <c r="B40" s="356"/>
      <c r="C40" s="356"/>
      <c r="D40" s="356"/>
      <c r="E40" s="356"/>
      <c r="F40" s="356"/>
      <c r="G40" s="356"/>
      <c r="H40" s="357" t="str">
        <f>IF($H$39&gt;11%,"Super Contributions exceed 11%, confirm with employer rate of super","")</f>
        <v/>
      </c>
      <c r="I40" s="343"/>
    </row>
    <row r="41" spans="1:9" ht="13.5" thickTop="1">
      <c r="A41" s="343"/>
      <c r="B41" s="344"/>
      <c r="C41" s="344"/>
      <c r="D41" s="344"/>
      <c r="E41" s="344"/>
      <c r="F41" s="344"/>
      <c r="G41" s="344"/>
      <c r="H41" s="344"/>
      <c r="I41" s="343"/>
    </row>
    <row r="42" spans="1:9">
      <c r="A42" s="343"/>
      <c r="B42" s="346" t="s">
        <v>88</v>
      </c>
      <c r="C42" s="344"/>
      <c r="D42" s="344"/>
      <c r="E42" s="344"/>
      <c r="F42" s="344"/>
      <c r="G42" s="344"/>
      <c r="H42" s="344"/>
      <c r="I42" s="343"/>
    </row>
    <row r="43" spans="1:9">
      <c r="A43" s="343"/>
      <c r="B43" s="344" t="s">
        <v>807</v>
      </c>
      <c r="C43" s="833"/>
      <c r="D43" s="834"/>
      <c r="E43" s="834"/>
      <c r="F43" s="834"/>
      <c r="G43" s="834"/>
      <c r="H43" s="835"/>
      <c r="I43" s="343"/>
    </row>
    <row r="44" spans="1:9">
      <c r="A44" s="343"/>
      <c r="B44" s="346" t="s">
        <v>806</v>
      </c>
      <c r="C44" s="348"/>
      <c r="D44" s="348"/>
      <c r="E44" s="348"/>
      <c r="F44" s="348"/>
      <c r="G44" s="348"/>
      <c r="H44" s="348"/>
      <c r="I44" s="343"/>
    </row>
    <row r="45" spans="1:9">
      <c r="A45" s="343"/>
      <c r="B45" s="349" t="s">
        <v>802</v>
      </c>
      <c r="C45" s="349" t="s">
        <v>801</v>
      </c>
      <c r="D45" s="349" t="s">
        <v>800</v>
      </c>
      <c r="E45" s="349" t="s">
        <v>799</v>
      </c>
      <c r="F45" s="350" t="s">
        <v>805</v>
      </c>
      <c r="G45" s="349" t="s">
        <v>797</v>
      </c>
      <c r="H45" s="351" t="s">
        <v>804</v>
      </c>
      <c r="I45" s="343"/>
    </row>
    <row r="46" spans="1:9">
      <c r="A46" s="343"/>
      <c r="B46" s="340"/>
      <c r="C46" s="340"/>
      <c r="D46" s="352">
        <f>C46-B46</f>
        <v>0</v>
      </c>
      <c r="E46" s="352">
        <f>D46/7</f>
        <v>0</v>
      </c>
      <c r="F46" s="339"/>
      <c r="G46" s="353">
        <f>IFERROR(F46/E46,0)</f>
        <v>0</v>
      </c>
      <c r="H46" s="354">
        <f>G46*52</f>
        <v>0</v>
      </c>
      <c r="I46" s="343"/>
    </row>
    <row r="47" spans="1:9">
      <c r="A47" s="343"/>
      <c r="B47" s="360" t="s">
        <v>803</v>
      </c>
      <c r="C47" s="344"/>
      <c r="D47" s="344"/>
      <c r="E47" s="344"/>
      <c r="F47" s="344"/>
      <c r="G47" s="344"/>
      <c r="H47" s="344"/>
      <c r="I47" s="343"/>
    </row>
    <row r="48" spans="1:9">
      <c r="A48" s="343"/>
      <c r="B48" s="349" t="s">
        <v>802</v>
      </c>
      <c r="C48" s="349" t="s">
        <v>801</v>
      </c>
      <c r="D48" s="349" t="s">
        <v>800</v>
      </c>
      <c r="E48" s="349" t="s">
        <v>799</v>
      </c>
      <c r="F48" s="350" t="s">
        <v>798</v>
      </c>
      <c r="G48" s="349" t="s">
        <v>797</v>
      </c>
      <c r="H48" s="351" t="s">
        <v>796</v>
      </c>
      <c r="I48" s="343"/>
    </row>
    <row r="49" spans="1:9">
      <c r="A49" s="343"/>
      <c r="B49" s="340"/>
      <c r="C49" s="340"/>
      <c r="D49" s="352">
        <f>C49-B49</f>
        <v>0</v>
      </c>
      <c r="E49" s="352">
        <f>D49/7</f>
        <v>0</v>
      </c>
      <c r="F49" s="339"/>
      <c r="G49" s="353">
        <f>IFERROR(F49/E49,0)</f>
        <v>0</v>
      </c>
      <c r="H49" s="354">
        <f>G49*52</f>
        <v>0</v>
      </c>
      <c r="I49" s="343"/>
    </row>
    <row r="50" spans="1:9">
      <c r="A50" s="343"/>
      <c r="B50" s="344"/>
      <c r="C50" s="344"/>
      <c r="D50" s="344"/>
      <c r="E50" s="344"/>
      <c r="F50" s="344"/>
      <c r="G50" s="344"/>
      <c r="H50" s="344"/>
      <c r="I50" s="343"/>
    </row>
    <row r="51" spans="1:9">
      <c r="A51" s="343"/>
      <c r="B51" s="344"/>
      <c r="C51" s="344"/>
      <c r="D51" s="344"/>
      <c r="E51" s="344"/>
      <c r="F51" s="344" t="s">
        <v>795</v>
      </c>
      <c r="G51" s="344"/>
      <c r="H51" s="358">
        <f>IFERROR(H49/H46,0)</f>
        <v>0</v>
      </c>
      <c r="I51" s="343"/>
    </row>
    <row r="52" spans="1:9" ht="13.5" thickBot="1">
      <c r="A52" s="343"/>
      <c r="B52" s="356"/>
      <c r="C52" s="356"/>
      <c r="D52" s="356"/>
      <c r="E52" s="356"/>
      <c r="F52" s="356"/>
      <c r="G52" s="356"/>
      <c r="H52" s="357" t="str">
        <f>IF($H$51&gt;11%,"Super Contributions exceed 11%, confirm with employer rate of super","")</f>
        <v/>
      </c>
      <c r="I52" s="343"/>
    </row>
    <row r="53" spans="1:9" ht="13.5" thickTop="1">
      <c r="A53" s="343"/>
      <c r="B53" s="344"/>
      <c r="C53" s="344"/>
      <c r="D53" s="344"/>
      <c r="E53" s="344"/>
      <c r="F53" s="344"/>
      <c r="G53" s="344"/>
      <c r="H53" s="344"/>
      <c r="I53" s="343"/>
    </row>
    <row r="54" spans="1:9">
      <c r="A54" s="343"/>
      <c r="B54" s="344"/>
      <c r="C54" s="344"/>
      <c r="D54" s="344"/>
      <c r="E54" s="344"/>
      <c r="F54" s="344"/>
      <c r="G54" s="344"/>
      <c r="H54" s="344"/>
      <c r="I54" s="343"/>
    </row>
    <row r="55" spans="1:9">
      <c r="A55" s="343"/>
      <c r="B55" s="344"/>
      <c r="C55" s="344"/>
      <c r="D55" s="344"/>
      <c r="E55" s="344"/>
      <c r="F55" s="344"/>
      <c r="G55" s="344"/>
      <c r="H55" s="344"/>
      <c r="I55" s="343"/>
    </row>
    <row r="56" spans="1:9">
      <c r="A56" s="343"/>
      <c r="B56" s="344"/>
      <c r="C56" s="344"/>
      <c r="D56" s="344"/>
      <c r="E56" s="344"/>
      <c r="F56" s="344"/>
      <c r="G56" s="344"/>
      <c r="H56" s="344"/>
      <c r="I56" s="343"/>
    </row>
    <row r="57" spans="1:9">
      <c r="A57" s="343"/>
      <c r="B57" s="344"/>
      <c r="C57" s="344"/>
      <c r="D57" s="344"/>
      <c r="E57" s="344"/>
      <c r="F57" s="344"/>
      <c r="G57" s="344"/>
      <c r="H57" s="344"/>
      <c r="I57" s="343"/>
    </row>
    <row r="58" spans="1:9">
      <c r="A58" s="343"/>
      <c r="B58" s="344"/>
      <c r="C58" s="344"/>
      <c r="D58" s="344"/>
      <c r="E58" s="344"/>
      <c r="F58" s="344"/>
      <c r="G58" s="344"/>
      <c r="H58" s="344"/>
      <c r="I58" s="343"/>
    </row>
    <row r="59" spans="1:9">
      <c r="A59" s="343"/>
      <c r="B59" s="344"/>
      <c r="C59" s="344"/>
      <c r="D59" s="344"/>
      <c r="E59" s="344"/>
      <c r="F59" s="344"/>
      <c r="G59" s="344"/>
      <c r="H59" s="344"/>
      <c r="I59" s="343"/>
    </row>
    <row r="60" spans="1:9">
      <c r="A60" s="343"/>
      <c r="B60" s="344"/>
      <c r="C60" s="344"/>
      <c r="D60" s="344"/>
      <c r="E60" s="344"/>
      <c r="F60" s="344"/>
      <c r="G60" s="344"/>
      <c r="H60" s="344"/>
      <c r="I60" s="343"/>
    </row>
    <row r="61" spans="1:9">
      <c r="A61" s="343"/>
      <c r="B61" s="344"/>
      <c r="C61" s="344"/>
      <c r="D61" s="344"/>
      <c r="E61" s="344"/>
      <c r="F61" s="344"/>
      <c r="G61" s="344"/>
      <c r="H61" s="344"/>
      <c r="I61" s="343"/>
    </row>
    <row r="62" spans="1:9">
      <c r="A62" s="343"/>
      <c r="B62" s="344"/>
      <c r="C62" s="344"/>
      <c r="D62" s="344"/>
      <c r="E62" s="344"/>
      <c r="F62" s="344"/>
      <c r="G62" s="344"/>
      <c r="H62" s="344"/>
      <c r="I62" s="343"/>
    </row>
    <row r="63" spans="1:9">
      <c r="A63" s="343"/>
      <c r="B63" s="344"/>
      <c r="C63" s="344"/>
      <c r="D63" s="344"/>
      <c r="E63" s="344"/>
      <c r="F63" s="344"/>
      <c r="G63" s="344"/>
      <c r="H63" s="344"/>
      <c r="I63" s="343"/>
    </row>
    <row r="64" spans="1:9">
      <c r="A64" s="343"/>
      <c r="B64" s="344"/>
      <c r="C64" s="344"/>
      <c r="D64" s="344"/>
      <c r="E64" s="344"/>
      <c r="F64" s="344"/>
      <c r="G64" s="344"/>
      <c r="H64" s="344"/>
      <c r="I64" s="343"/>
    </row>
    <row r="65" spans="1:9">
      <c r="A65" s="343"/>
      <c r="B65" s="344"/>
      <c r="C65" s="344"/>
      <c r="D65" s="344"/>
      <c r="E65" s="344"/>
      <c r="F65" s="344"/>
      <c r="G65" s="344"/>
      <c r="H65" s="344"/>
      <c r="I65" s="343"/>
    </row>
    <row r="66" spans="1:9">
      <c r="A66" s="343"/>
      <c r="B66" s="344"/>
      <c r="C66" s="344"/>
      <c r="D66" s="344"/>
      <c r="E66" s="344"/>
      <c r="F66" s="344"/>
      <c r="G66" s="344"/>
      <c r="H66" s="344"/>
      <c r="I66" s="343"/>
    </row>
    <row r="67" spans="1:9">
      <c r="A67" s="343"/>
      <c r="B67" s="344"/>
      <c r="C67" s="344"/>
      <c r="D67" s="344"/>
      <c r="E67" s="344"/>
      <c r="F67" s="344"/>
      <c r="G67" s="344"/>
      <c r="H67" s="344"/>
      <c r="I67" s="343"/>
    </row>
    <row r="68" spans="1:9">
      <c r="A68" s="343"/>
      <c r="B68" s="344"/>
      <c r="C68" s="344"/>
      <c r="D68" s="344"/>
      <c r="E68" s="344"/>
      <c r="F68" s="344"/>
      <c r="G68" s="344"/>
      <c r="H68" s="344"/>
      <c r="I68" s="343"/>
    </row>
    <row r="69" spans="1:9">
      <c r="A69" s="343"/>
      <c r="B69" s="344"/>
      <c r="C69" s="344"/>
      <c r="D69" s="344"/>
      <c r="E69" s="344"/>
      <c r="F69" s="344"/>
      <c r="G69" s="344"/>
      <c r="H69" s="344"/>
      <c r="I69" s="343"/>
    </row>
    <row r="70" spans="1:9">
      <c r="A70" s="343"/>
      <c r="B70" s="344"/>
      <c r="C70" s="344"/>
      <c r="D70" s="344"/>
      <c r="E70" s="344"/>
      <c r="F70" s="344"/>
      <c r="G70" s="344"/>
      <c r="H70" s="344"/>
      <c r="I70" s="343"/>
    </row>
    <row r="71" spans="1:9">
      <c r="A71" s="343"/>
      <c r="B71" s="344"/>
      <c r="C71" s="344"/>
      <c r="D71" s="344"/>
      <c r="E71" s="344"/>
      <c r="F71" s="344"/>
      <c r="G71" s="344"/>
      <c r="H71" s="344"/>
      <c r="I71" s="343"/>
    </row>
    <row r="72" spans="1:9">
      <c r="A72" s="343"/>
      <c r="B72" s="344"/>
      <c r="C72" s="344"/>
      <c r="D72" s="344"/>
      <c r="E72" s="344"/>
      <c r="F72" s="344"/>
      <c r="G72" s="344"/>
      <c r="H72" s="344"/>
      <c r="I72" s="343"/>
    </row>
    <row r="73" spans="1:9">
      <c r="A73" s="343"/>
      <c r="B73" s="344"/>
      <c r="C73" s="344"/>
      <c r="D73" s="344"/>
      <c r="E73" s="344"/>
      <c r="F73" s="344"/>
      <c r="G73" s="344"/>
      <c r="H73" s="344"/>
      <c r="I73" s="343"/>
    </row>
    <row r="74" spans="1:9">
      <c r="B74" s="344"/>
      <c r="C74" s="344"/>
      <c r="D74" s="344"/>
      <c r="E74" s="344"/>
      <c r="F74" s="344"/>
      <c r="G74" s="344"/>
      <c r="H74" s="344"/>
    </row>
  </sheetData>
  <sheetProtection algorithmName="SHA-512" hashValue="s4WpppdIGO9rhmUb1gxVFRgAReIL7xMhB3g7J4hh1iBUGlD6cZ7XwKHH0Jxl8eLLg/sTmqvqIjkzPyx0LD2FoA==" saltValue="N3SVcyj5mgp8BbLed6L/SA==" spinCount="100000" sheet="1" objects="1" scenarios="1"/>
  <mergeCells count="4">
    <mergeCell ref="C7:H7"/>
    <mergeCell ref="C19:H19"/>
    <mergeCell ref="C31:H31"/>
    <mergeCell ref="C43:H43"/>
  </mergeCells>
  <phoneticPr fontId="95" type="noConversion"/>
  <dataValidations count="1">
    <dataValidation type="whole" allowBlank="1" showInputMessage="1" showErrorMessage="1" errorTitle="Prospector Number." error="Please enter a valid Prospector Number." sqref="C3" xr:uid="{8F49554E-FCA6-4A41-BFD9-15852FE59483}">
      <formula1>0</formula1>
      <formula2>9999999</formula2>
    </dataValidation>
  </dataValidations>
  <printOptions horizontalCentered="1" verticalCentered="1"/>
  <pageMargins left="0" right="0" top="0" bottom="0" header="0" footer="0"/>
  <pageSetup paperSize="9" scale="9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5" r:id="rId4" name="Button 5">
              <controlPr locked="0" defaultSize="0" print="0" autoFill="0" autoPict="0" macro="[0]!Sheet4.ClearUnlockedCells">
                <anchor>
                  <from>
                    <xdr:col>6</xdr:col>
                    <xdr:colOff>476250</xdr:colOff>
                    <xdr:row>0</xdr:row>
                    <xdr:rowOff>171450</xdr:rowOff>
                  </from>
                  <to>
                    <xdr:col>7</xdr:col>
                    <xdr:colOff>1304925</xdr:colOff>
                    <xdr:row>0</xdr:row>
                    <xdr:rowOff>657225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D1B34-4463-49E0-808D-66EBC1395397}">
  <sheetPr codeName="Sheet6"/>
  <dimension ref="A3:H24"/>
  <sheetViews>
    <sheetView zoomScaleNormal="100" zoomScalePageLayoutView="70" workbookViewId="0">
      <selection activeCell="A3" sqref="A3"/>
    </sheetView>
  </sheetViews>
  <sheetFormatPr defaultColWidth="12.5703125" defaultRowHeight="15.75"/>
  <cols>
    <col min="1" max="1" width="30.85546875" style="384" bestFit="1" customWidth="1"/>
    <col min="2" max="2" width="8.140625" style="384" customWidth="1"/>
    <col min="3" max="3" width="22.42578125" style="384" customWidth="1"/>
    <col min="4" max="4" width="15.28515625" style="384" bestFit="1" customWidth="1"/>
    <col min="5" max="5" width="12.5703125" style="384" customWidth="1"/>
    <col min="6" max="6" width="12.5703125" style="384"/>
    <col min="7" max="7" width="15.28515625" style="384" bestFit="1" customWidth="1"/>
    <col min="8" max="16384" width="12.5703125" style="384"/>
  </cols>
  <sheetData>
    <row r="3" spans="1:8" ht="26.25">
      <c r="C3" s="621" t="s">
        <v>833</v>
      </c>
    </row>
    <row r="8" spans="1:8">
      <c r="A8" s="840" t="s">
        <v>832</v>
      </c>
      <c r="B8" s="841"/>
      <c r="C8" s="838"/>
      <c r="D8" s="839"/>
      <c r="H8" s="385"/>
    </row>
    <row r="9" spans="1:8">
      <c r="A9" s="842" t="s">
        <v>831</v>
      </c>
      <c r="B9" s="843"/>
      <c r="C9" s="836"/>
      <c r="D9" s="837"/>
      <c r="H9" s="385"/>
    </row>
    <row r="10" spans="1:8">
      <c r="H10" s="386"/>
    </row>
    <row r="11" spans="1:8">
      <c r="A11" s="842" t="s">
        <v>830</v>
      </c>
      <c r="B11" s="844"/>
      <c r="C11" s="844"/>
      <c r="D11" s="843"/>
      <c r="H11" s="385"/>
    </row>
    <row r="12" spans="1:8">
      <c r="A12" s="384" t="s">
        <v>829</v>
      </c>
      <c r="C12" s="848" t="str">
        <f>IF(C13=0,"",IF(C13&gt;C14,"Principal &amp; Interest","Interest Only"))</f>
        <v/>
      </c>
      <c r="D12" s="849"/>
    </row>
    <row r="13" spans="1:8">
      <c r="A13" s="384" t="s">
        <v>5</v>
      </c>
      <c r="C13" s="850"/>
      <c r="D13" s="851"/>
    </row>
    <row r="14" spans="1:8">
      <c r="A14" s="384" t="s">
        <v>828</v>
      </c>
      <c r="C14" s="852"/>
      <c r="D14" s="852"/>
      <c r="H14" s="387"/>
    </row>
    <row r="15" spans="1:8">
      <c r="A15" s="384" t="s">
        <v>827</v>
      </c>
      <c r="C15" s="853"/>
      <c r="D15" s="853"/>
    </row>
    <row r="16" spans="1:8">
      <c r="A16" s="384" t="s">
        <v>261</v>
      </c>
      <c r="C16" s="854"/>
      <c r="D16" s="854"/>
    </row>
    <row r="17" spans="1:4">
      <c r="A17" s="384" t="s">
        <v>826</v>
      </c>
      <c r="C17" s="855">
        <f>IFERROR(IF(C$12="",0,(IF(C$12="Principal &amp; Interest",-PMT(C$16/12,(C$13-C$14)*12,C$15,0,0),((C$15*C$16)/12)))),0)</f>
        <v>0</v>
      </c>
      <c r="D17" s="856"/>
    </row>
    <row r="18" spans="1:4">
      <c r="A18" s="384" t="s">
        <v>825</v>
      </c>
      <c r="C18" s="857">
        <f>C17*12</f>
        <v>0</v>
      </c>
      <c r="D18" s="858"/>
    </row>
    <row r="19" spans="1:4">
      <c r="A19" s="840" t="s">
        <v>824</v>
      </c>
      <c r="B19" s="841"/>
      <c r="C19" s="859"/>
      <c r="D19" s="859"/>
    </row>
    <row r="20" spans="1:4">
      <c r="A20" s="723" t="s">
        <v>823</v>
      </c>
      <c r="B20" s="724"/>
      <c r="C20" s="855">
        <f>C19*12</f>
        <v>0</v>
      </c>
      <c r="D20" s="856"/>
    </row>
    <row r="21" spans="1:4">
      <c r="A21" s="384" t="s">
        <v>834</v>
      </c>
      <c r="C21" s="852"/>
      <c r="D21" s="852"/>
    </row>
    <row r="22" spans="1:4">
      <c r="A22" s="384" t="s">
        <v>835</v>
      </c>
      <c r="C22" s="852"/>
      <c r="D22" s="852"/>
    </row>
    <row r="24" spans="1:4">
      <c r="A24" s="845" t="s">
        <v>949</v>
      </c>
      <c r="B24" s="846"/>
      <c r="C24" s="847" t="s">
        <v>822</v>
      </c>
      <c r="D24" s="589" t="e">
        <f>C20/C18</f>
        <v>#DIV/0!</v>
      </c>
    </row>
  </sheetData>
  <sheetProtection algorithmName="SHA-512" hashValue="6eqxWga1AL/5JmjVXLIqb0l3Bvlq5lJLMrYcn9ZxZamdRFD7+zFIt+bQG+6FpGuyUgTrUoMSZWD0X55WVtfKAA==" saltValue="HuJXr3wrQDwWtio7yATiqQ==" spinCount="100000" sheet="1" objects="1" scenarios="1"/>
  <mergeCells count="18">
    <mergeCell ref="A19:B19"/>
    <mergeCell ref="A24:C24"/>
    <mergeCell ref="C12:D12"/>
    <mergeCell ref="C13:D13"/>
    <mergeCell ref="C14:D14"/>
    <mergeCell ref="C15:D15"/>
    <mergeCell ref="C16:D16"/>
    <mergeCell ref="C17:D17"/>
    <mergeCell ref="C18:D18"/>
    <mergeCell ref="C20:D20"/>
    <mergeCell ref="C19:D19"/>
    <mergeCell ref="C21:D21"/>
    <mergeCell ref="C22:D22"/>
    <mergeCell ref="C9:D9"/>
    <mergeCell ref="C8:D8"/>
    <mergeCell ref="A8:B8"/>
    <mergeCell ref="A9:B9"/>
    <mergeCell ref="A11:D11"/>
  </mergeCells>
  <phoneticPr fontId="95" type="noConversion"/>
  <conditionalFormatting sqref="D24">
    <cfRule type="expression" dxfId="11" priority="1">
      <formula>$D$24&lt;=1.3</formula>
    </cfRule>
    <cfRule type="expression" dxfId="10" priority="2">
      <formula>$D$24&gt;1.3</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locked="0" defaultSize="0" print="0" autoFill="0" autoPict="0" macro="[0]!Sheet6.ClearUnlockedCells">
                <anchor moveWithCells="1">
                  <from>
                    <xdr:col>2</xdr:col>
                    <xdr:colOff>1133475</xdr:colOff>
                    <xdr:row>3</xdr:row>
                    <xdr:rowOff>66675</xdr:rowOff>
                  </from>
                  <to>
                    <xdr:col>4</xdr:col>
                    <xdr:colOff>152400</xdr:colOff>
                    <xdr:row>5</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2D955-9406-4F95-B2B9-7CA0BAC44832}">
  <sheetPr codeName="Sheet14"/>
  <dimension ref="A1"/>
  <sheetViews>
    <sheetView workbookViewId="0"/>
  </sheetViews>
  <sheetFormatPr defaultRowHeight="15"/>
  <sheetData/>
  <sheetProtection algorithmName="SHA-512" hashValue="0iHHlzDvRyemq4oGU7DjDJe/194lc39w15LvfModndVuSN2ujUUPvEEl4C5Bg8/fRHmJFrwdlJd1ZRDDugI3Jw==" saltValue="uRQYWOCFPsiIc8ZMXTWGJA==" spinCount="100000" sheet="1" objects="1" scenarios="1"/>
  <pageMargins left="0.7" right="0.7" top="0.75" bottom="0.75" header="0.3" footer="0.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91364-2F4A-4334-9DB8-FB51F1088266}">
  <sheetPr codeName="Sheet5"/>
  <dimension ref="A1:U36"/>
  <sheetViews>
    <sheetView zoomScale="110" zoomScaleNormal="110" workbookViewId="0">
      <selection activeCell="G28" sqref="G28"/>
    </sheetView>
  </sheetViews>
  <sheetFormatPr defaultColWidth="9.140625" defaultRowHeight="15"/>
  <cols>
    <col min="1" max="1" width="9.140625" style="16"/>
    <col min="2" max="2" width="0" style="16" hidden="1" customWidth="1"/>
    <col min="3" max="3" width="30.5703125" style="19" bestFit="1" customWidth="1"/>
    <col min="4" max="6" width="18.28515625" style="19" customWidth="1"/>
    <col min="7" max="19" width="9.140625" style="19"/>
    <col min="20" max="21" width="9.140625" style="16"/>
    <col min="22" max="16384" width="9.140625" style="19"/>
  </cols>
  <sheetData>
    <row r="1" spans="2:19">
      <c r="C1" s="16"/>
      <c r="D1" s="16"/>
      <c r="E1" s="16"/>
      <c r="F1" s="16"/>
      <c r="G1" s="16"/>
      <c r="H1" s="16"/>
      <c r="I1" s="16"/>
      <c r="J1" s="16"/>
      <c r="K1" s="16"/>
      <c r="L1" s="16"/>
      <c r="M1" s="16"/>
      <c r="N1" s="16"/>
      <c r="O1" s="16"/>
      <c r="P1" s="16"/>
      <c r="Q1" s="16"/>
      <c r="R1" s="16"/>
      <c r="S1" s="16"/>
    </row>
    <row r="2" spans="2:19">
      <c r="C2" s="16"/>
      <c r="D2" s="16"/>
      <c r="E2" s="16"/>
      <c r="F2" s="16"/>
      <c r="G2" s="16"/>
      <c r="H2" s="16"/>
      <c r="I2" s="16"/>
      <c r="J2" s="16"/>
      <c r="K2" s="16"/>
      <c r="L2" s="16"/>
      <c r="M2" s="16"/>
      <c r="N2" s="16"/>
      <c r="O2" s="16"/>
      <c r="P2" s="16"/>
      <c r="Q2" s="16"/>
      <c r="R2" s="16"/>
      <c r="S2" s="16"/>
    </row>
    <row r="3" spans="2:19">
      <c r="C3" s="16"/>
      <c r="D3" s="16"/>
      <c r="E3" s="16"/>
      <c r="F3" s="16"/>
      <c r="G3" s="16"/>
      <c r="H3" s="16"/>
      <c r="I3" s="16"/>
      <c r="J3" s="16"/>
      <c r="K3" s="16"/>
      <c r="L3" s="16"/>
      <c r="M3" s="16"/>
      <c r="N3" s="16"/>
      <c r="O3" s="16"/>
      <c r="P3" s="16"/>
      <c r="Q3" s="16"/>
      <c r="R3" s="16"/>
      <c r="S3" s="16"/>
    </row>
    <row r="4" spans="2:19">
      <c r="C4" s="16"/>
      <c r="D4" s="16"/>
      <c r="E4" s="16"/>
      <c r="F4" s="16"/>
      <c r="G4" s="16"/>
      <c r="H4" s="16"/>
      <c r="I4" s="16"/>
      <c r="J4" s="16"/>
      <c r="K4" s="16"/>
      <c r="L4" s="16"/>
      <c r="M4" s="16"/>
      <c r="N4" s="16"/>
      <c r="O4" s="16"/>
      <c r="P4" s="16"/>
      <c r="Q4" s="16"/>
      <c r="R4" s="16"/>
      <c r="S4" s="16"/>
    </row>
    <row r="5" spans="2:19" ht="33">
      <c r="B5" s="361"/>
      <c r="C5" s="362"/>
      <c r="D5" s="361"/>
      <c r="E5" s="362"/>
      <c r="F5" s="363"/>
      <c r="G5" s="16"/>
      <c r="H5" s="16"/>
      <c r="I5" s="16"/>
      <c r="J5" s="16"/>
      <c r="K5" s="16"/>
      <c r="L5" s="16"/>
      <c r="M5" s="16"/>
      <c r="N5" s="16"/>
      <c r="O5" s="16"/>
      <c r="P5" s="16"/>
      <c r="Q5" s="16"/>
      <c r="R5" s="16"/>
      <c r="S5" s="16"/>
    </row>
    <row r="6" spans="2:19">
      <c r="B6" s="361"/>
      <c r="C6" s="16" t="s">
        <v>810</v>
      </c>
      <c r="D6" s="361"/>
      <c r="E6" s="769">
        <f ca="1">TODAY()</f>
        <v>45576</v>
      </c>
      <c r="F6" s="769"/>
      <c r="G6" s="16"/>
      <c r="H6" s="16"/>
      <c r="I6" s="16"/>
      <c r="J6" s="16"/>
      <c r="K6" s="16"/>
      <c r="L6" s="16"/>
      <c r="M6" s="16"/>
      <c r="N6" s="16"/>
      <c r="O6" s="16"/>
      <c r="P6" s="16"/>
      <c r="Q6" s="16"/>
      <c r="R6" s="16"/>
      <c r="S6" s="16"/>
    </row>
    <row r="7" spans="2:19">
      <c r="B7" s="361"/>
      <c r="C7" s="361"/>
      <c r="D7" s="361"/>
      <c r="E7" s="361"/>
      <c r="F7" s="361"/>
      <c r="G7" s="16"/>
      <c r="H7" s="16"/>
      <c r="I7" s="16"/>
      <c r="J7" s="16"/>
      <c r="K7" s="16"/>
      <c r="L7" s="16"/>
      <c r="M7" s="16"/>
      <c r="N7" s="16"/>
      <c r="O7" s="16"/>
      <c r="P7" s="16"/>
      <c r="Q7" s="16"/>
      <c r="R7" s="16"/>
      <c r="S7" s="16"/>
    </row>
    <row r="8" spans="2:19">
      <c r="B8" s="361"/>
      <c r="C8" s="150" t="s">
        <v>269</v>
      </c>
      <c r="D8" s="145" t="s">
        <v>268</v>
      </c>
      <c r="E8" s="145" t="s">
        <v>267</v>
      </c>
      <c r="F8" s="147" t="s">
        <v>266</v>
      </c>
      <c r="G8" s="16"/>
      <c r="H8" s="16"/>
      <c r="I8" s="16"/>
      <c r="J8" s="16"/>
      <c r="K8" s="16"/>
      <c r="L8" s="16"/>
      <c r="M8" s="16"/>
      <c r="N8" s="16"/>
      <c r="O8" s="16"/>
      <c r="P8" s="16"/>
      <c r="Q8" s="16"/>
      <c r="R8" s="16"/>
      <c r="S8" s="16"/>
    </row>
    <row r="9" spans="2:19">
      <c r="B9" s="361"/>
      <c r="C9" s="146" t="s">
        <v>811</v>
      </c>
      <c r="D9" s="364"/>
      <c r="E9" s="364"/>
      <c r="F9" s="364"/>
      <c r="G9" s="16"/>
      <c r="H9" s="16"/>
      <c r="I9" s="16"/>
      <c r="J9" s="16"/>
      <c r="K9" s="16"/>
      <c r="L9" s="16"/>
      <c r="M9" s="16"/>
      <c r="N9" s="16"/>
      <c r="O9" s="16"/>
      <c r="P9" s="16"/>
      <c r="Q9" s="16"/>
      <c r="R9" s="16"/>
      <c r="S9" s="16"/>
    </row>
    <row r="10" spans="2:19">
      <c r="B10" s="361"/>
      <c r="C10" s="146" t="s">
        <v>812</v>
      </c>
      <c r="D10" s="372"/>
      <c r="E10" s="372"/>
      <c r="F10" s="372"/>
      <c r="G10" s="16"/>
      <c r="H10" s="16"/>
      <c r="I10" s="16"/>
      <c r="J10" s="16"/>
      <c r="K10" s="16"/>
      <c r="L10" s="16"/>
      <c r="M10" s="16"/>
      <c r="N10" s="16"/>
      <c r="O10" s="16"/>
      <c r="P10" s="16"/>
      <c r="Q10" s="16"/>
      <c r="R10" s="16"/>
      <c r="S10" s="16"/>
    </row>
    <row r="11" spans="2:19">
      <c r="B11" s="361"/>
      <c r="C11" s="146" t="s">
        <v>813</v>
      </c>
      <c r="D11" s="366"/>
      <c r="E11" s="366"/>
      <c r="F11" s="366"/>
      <c r="G11" s="16"/>
      <c r="H11" s="16"/>
      <c r="I11" s="16"/>
      <c r="J11" s="16"/>
      <c r="K11" s="16"/>
      <c r="L11" s="16"/>
      <c r="M11" s="16"/>
      <c r="N11" s="16"/>
      <c r="O11" s="16"/>
      <c r="P11" s="16"/>
      <c r="Q11" s="16"/>
      <c r="R11" s="16"/>
      <c r="S11" s="16"/>
    </row>
    <row r="12" spans="2:19">
      <c r="B12" s="361"/>
      <c r="C12" s="146" t="s">
        <v>819</v>
      </c>
      <c r="D12" s="365"/>
      <c r="E12" s="365"/>
      <c r="F12" s="365"/>
      <c r="G12" s="16"/>
      <c r="H12" s="16"/>
      <c r="I12" s="16"/>
      <c r="J12" s="16"/>
      <c r="K12" s="16"/>
      <c r="L12" s="16"/>
      <c r="M12" s="16"/>
      <c r="N12" s="16"/>
      <c r="O12" s="16"/>
      <c r="P12" s="16"/>
      <c r="Q12" s="16"/>
      <c r="R12" s="16"/>
      <c r="S12" s="16"/>
    </row>
    <row r="13" spans="2:19">
      <c r="B13" s="361"/>
      <c r="C13" s="146" t="s">
        <v>814</v>
      </c>
      <c r="D13" s="365"/>
      <c r="E13" s="365"/>
      <c r="F13" s="365"/>
      <c r="G13" s="16"/>
      <c r="H13" s="16"/>
      <c r="I13" s="16"/>
      <c r="J13" s="16"/>
      <c r="K13" s="16"/>
      <c r="L13" s="16"/>
      <c r="M13" s="16"/>
      <c r="N13" s="16"/>
      <c r="O13" s="16"/>
      <c r="P13" s="16"/>
      <c r="Q13" s="16"/>
      <c r="R13" s="16"/>
      <c r="S13" s="16"/>
    </row>
    <row r="14" spans="2:19">
      <c r="B14" s="361"/>
      <c r="C14" s="148" t="s">
        <v>820</v>
      </c>
      <c r="D14" s="365"/>
      <c r="E14" s="365"/>
      <c r="F14" s="365"/>
      <c r="G14" s="16"/>
      <c r="H14" s="16"/>
      <c r="I14" s="16"/>
      <c r="J14" s="16"/>
      <c r="K14" s="16"/>
      <c r="L14" s="16"/>
      <c r="M14" s="16"/>
      <c r="N14" s="16"/>
      <c r="O14" s="16"/>
      <c r="P14" s="16"/>
      <c r="Q14" s="16"/>
      <c r="R14" s="16"/>
      <c r="S14" s="16"/>
    </row>
    <row r="15" spans="2:19">
      <c r="B15" s="361"/>
      <c r="C15" s="16"/>
      <c r="D15" s="374"/>
      <c r="E15" s="16"/>
      <c r="F15" s="16"/>
      <c r="G15" s="16"/>
      <c r="H15" s="16"/>
      <c r="I15" s="16"/>
      <c r="J15" s="16"/>
      <c r="K15" s="16"/>
      <c r="L15" s="16"/>
      <c r="M15" s="16"/>
      <c r="N15" s="16"/>
      <c r="O15" s="16"/>
      <c r="P15" s="16"/>
      <c r="Q15" s="16"/>
      <c r="R15" s="16"/>
      <c r="S15" s="16"/>
    </row>
    <row r="16" spans="2:19">
      <c r="B16" s="361"/>
      <c r="C16" s="367" t="s">
        <v>817</v>
      </c>
      <c r="D16" s="373"/>
      <c r="E16" s="373"/>
      <c r="F16" s="373"/>
      <c r="G16" s="16"/>
      <c r="H16" s="16"/>
      <c r="I16" s="16"/>
      <c r="J16" s="16"/>
      <c r="K16" s="16"/>
      <c r="L16" s="16"/>
      <c r="M16" s="16"/>
      <c r="N16" s="16"/>
      <c r="O16" s="16"/>
      <c r="P16" s="16"/>
      <c r="Q16" s="16"/>
      <c r="R16" s="16"/>
      <c r="S16" s="16"/>
    </row>
    <row r="17" spans="2:19">
      <c r="B17" s="361"/>
      <c r="C17" s="148" t="s">
        <v>815</v>
      </c>
      <c r="D17" s="365"/>
      <c r="E17" s="365"/>
      <c r="F17" s="365"/>
      <c r="G17" s="16"/>
      <c r="H17" s="16"/>
      <c r="I17" s="16"/>
      <c r="J17" s="16"/>
      <c r="K17" s="16"/>
      <c r="L17" s="16"/>
      <c r="M17" s="16"/>
      <c r="N17" s="16"/>
      <c r="O17" s="16"/>
      <c r="P17" s="16"/>
      <c r="Q17" s="16"/>
      <c r="R17" s="16"/>
      <c r="S17" s="16"/>
    </row>
    <row r="18" spans="2:19">
      <c r="B18" s="361"/>
      <c r="C18" s="148" t="s">
        <v>821</v>
      </c>
      <c r="D18" s="375">
        <v>0.1</v>
      </c>
      <c r="E18" s="375">
        <v>0.1</v>
      </c>
      <c r="F18" s="375">
        <v>0.1</v>
      </c>
      <c r="G18" s="16"/>
      <c r="H18" s="16"/>
      <c r="I18" s="16"/>
      <c r="J18" s="16"/>
      <c r="K18" s="16"/>
      <c r="L18" s="16"/>
      <c r="M18" s="16"/>
      <c r="N18" s="16"/>
      <c r="O18" s="16"/>
      <c r="P18" s="16"/>
      <c r="Q18" s="16"/>
      <c r="R18" s="16"/>
      <c r="S18" s="16"/>
    </row>
    <row r="19" spans="2:19">
      <c r="B19" s="361"/>
      <c r="C19" s="16"/>
      <c r="D19" s="376"/>
      <c r="E19" s="16"/>
      <c r="F19" s="16"/>
      <c r="G19" s="16"/>
      <c r="H19" s="16"/>
      <c r="I19" s="16"/>
      <c r="J19" s="16"/>
      <c r="K19" s="16"/>
      <c r="L19" s="16"/>
      <c r="M19" s="16"/>
      <c r="N19" s="16"/>
      <c r="O19" s="16"/>
      <c r="P19" s="16"/>
      <c r="Q19" s="16"/>
      <c r="R19" s="16"/>
      <c r="S19" s="16"/>
    </row>
    <row r="20" spans="2:19">
      <c r="C20" s="370" t="s">
        <v>261</v>
      </c>
      <c r="D20" s="371">
        <f>D9+D10+D11+D12+D13+D16+D22-D14</f>
        <v>0</v>
      </c>
      <c r="E20" s="371">
        <f>E9+E10+E11+E12+E13+E16+E22-E14</f>
        <v>0</v>
      </c>
      <c r="F20" s="371">
        <f>F9+F10+F11+F12+F13+F16+F22-F14</f>
        <v>0</v>
      </c>
      <c r="G20" s="16"/>
      <c r="H20" s="16"/>
      <c r="I20" s="16"/>
      <c r="J20" s="16"/>
      <c r="K20" s="16"/>
      <c r="L20" s="16"/>
      <c r="M20" s="16"/>
      <c r="N20" s="16"/>
      <c r="O20" s="16"/>
      <c r="P20" s="16"/>
      <c r="Q20" s="16"/>
      <c r="R20" s="16"/>
      <c r="S20" s="16"/>
    </row>
    <row r="21" spans="2:19">
      <c r="C21" s="16"/>
      <c r="D21" s="374"/>
      <c r="E21" s="16"/>
      <c r="F21" s="16"/>
      <c r="G21" s="16"/>
      <c r="H21" s="16"/>
      <c r="I21" s="16"/>
      <c r="J21" s="16"/>
      <c r="K21" s="16"/>
      <c r="L21" s="16"/>
      <c r="M21" s="16"/>
      <c r="N21" s="16"/>
      <c r="O21" s="16"/>
      <c r="P21" s="16"/>
      <c r="Q21" s="16"/>
      <c r="R21" s="16"/>
      <c r="S21" s="16"/>
    </row>
    <row r="22" spans="2:19">
      <c r="C22" s="367" t="s">
        <v>816</v>
      </c>
      <c r="D22" s="368">
        <f>(D17+(D17*D18))/4</f>
        <v>0</v>
      </c>
      <c r="E22" s="368">
        <f>(E17+(E17*E18))/4</f>
        <v>0</v>
      </c>
      <c r="F22" s="368">
        <f>(F17+(F17*F18))/4</f>
        <v>0</v>
      </c>
      <c r="G22" s="16"/>
      <c r="H22" s="16"/>
      <c r="I22" s="16"/>
      <c r="J22" s="16"/>
      <c r="K22" s="16"/>
      <c r="L22" s="16"/>
      <c r="M22" s="16"/>
      <c r="N22" s="16"/>
      <c r="O22" s="16"/>
      <c r="P22" s="16"/>
      <c r="Q22" s="16"/>
      <c r="R22" s="16"/>
      <c r="S22" s="16"/>
    </row>
    <row r="23" spans="2:19">
      <c r="C23" s="149" t="s">
        <v>818</v>
      </c>
      <c r="D23" s="369">
        <f>D16+D22</f>
        <v>0</v>
      </c>
      <c r="E23" s="369">
        <f>E16+E22</f>
        <v>0</v>
      </c>
      <c r="F23" s="369">
        <f>F16+F22</f>
        <v>0</v>
      </c>
      <c r="G23" s="16"/>
      <c r="H23" s="16"/>
      <c r="I23" s="16"/>
      <c r="J23" s="16"/>
      <c r="K23" s="16"/>
      <c r="L23" s="16"/>
      <c r="M23" s="16"/>
      <c r="N23" s="16"/>
      <c r="O23" s="16"/>
      <c r="P23" s="16"/>
      <c r="Q23" s="16"/>
      <c r="R23" s="16"/>
      <c r="S23" s="16"/>
    </row>
    <row r="24" spans="2:19">
      <c r="C24" s="16"/>
      <c r="D24" s="16"/>
      <c r="E24" s="16"/>
      <c r="F24" s="16"/>
      <c r="G24" s="16"/>
      <c r="H24" s="16"/>
      <c r="I24" s="16"/>
      <c r="J24" s="16"/>
      <c r="K24" s="16"/>
      <c r="L24" s="16"/>
      <c r="M24" s="16"/>
      <c r="N24" s="16"/>
      <c r="O24" s="16"/>
      <c r="P24" s="16"/>
      <c r="Q24" s="16"/>
      <c r="R24" s="16"/>
      <c r="S24" s="16"/>
    </row>
    <row r="25" spans="2:19">
      <c r="C25" s="16"/>
      <c r="D25" s="16"/>
      <c r="E25" s="16"/>
      <c r="F25" s="16"/>
      <c r="G25" s="16"/>
      <c r="H25" s="16"/>
      <c r="I25" s="16"/>
      <c r="J25" s="16"/>
      <c r="K25" s="16"/>
      <c r="L25" s="16"/>
      <c r="M25" s="16"/>
      <c r="N25" s="16"/>
      <c r="O25" s="16"/>
      <c r="P25" s="16"/>
      <c r="Q25" s="16"/>
      <c r="R25" s="16"/>
      <c r="S25" s="16"/>
    </row>
    <row r="26" spans="2:19">
      <c r="C26" s="16"/>
      <c r="D26" s="16"/>
      <c r="E26" s="16"/>
      <c r="F26" s="16"/>
      <c r="G26" s="16"/>
      <c r="H26" s="16"/>
      <c r="I26" s="16"/>
      <c r="J26" s="16"/>
      <c r="K26" s="16"/>
      <c r="L26" s="16"/>
      <c r="M26" s="16"/>
      <c r="N26" s="16"/>
      <c r="O26" s="16"/>
      <c r="P26" s="16"/>
      <c r="Q26" s="16"/>
      <c r="R26" s="16"/>
      <c r="S26" s="16"/>
    </row>
    <row r="27" spans="2:19">
      <c r="C27" s="16"/>
      <c r="D27" s="16"/>
      <c r="E27" s="16"/>
      <c r="F27" s="16"/>
      <c r="G27" s="16"/>
      <c r="H27" s="16"/>
      <c r="I27" s="16"/>
      <c r="J27" s="16"/>
      <c r="K27" s="16"/>
      <c r="L27" s="16"/>
      <c r="M27" s="16"/>
      <c r="N27" s="16"/>
      <c r="O27" s="16"/>
      <c r="P27" s="16"/>
      <c r="Q27" s="16"/>
      <c r="R27" s="16"/>
      <c r="S27" s="16"/>
    </row>
    <row r="28" spans="2:19">
      <c r="C28" s="16"/>
      <c r="D28" s="16"/>
      <c r="E28" s="16"/>
      <c r="F28" s="16"/>
      <c r="G28" s="16"/>
      <c r="H28" s="16"/>
      <c r="I28" s="16"/>
      <c r="J28" s="16"/>
      <c r="K28" s="16"/>
      <c r="L28" s="16"/>
      <c r="M28" s="16"/>
      <c r="N28" s="16"/>
      <c r="O28" s="16"/>
      <c r="P28" s="16"/>
      <c r="Q28" s="16"/>
      <c r="R28" s="16"/>
      <c r="S28" s="16"/>
    </row>
    <row r="29" spans="2:19">
      <c r="C29" s="16"/>
      <c r="D29" s="16"/>
      <c r="E29" s="16"/>
      <c r="F29" s="16"/>
      <c r="G29" s="16"/>
      <c r="H29" s="16"/>
      <c r="I29" s="16"/>
      <c r="J29" s="16"/>
      <c r="K29" s="16"/>
      <c r="L29" s="16"/>
      <c r="M29" s="16"/>
      <c r="N29" s="16"/>
      <c r="O29" s="16"/>
      <c r="P29" s="16"/>
      <c r="Q29" s="16"/>
      <c r="R29" s="16"/>
      <c r="S29" s="16"/>
    </row>
    <row r="30" spans="2:19">
      <c r="C30" s="16"/>
      <c r="D30" s="16"/>
      <c r="E30" s="16"/>
      <c r="F30" s="16"/>
      <c r="G30" s="16"/>
      <c r="H30" s="16"/>
      <c r="I30" s="16"/>
      <c r="J30" s="16"/>
      <c r="K30" s="16"/>
      <c r="L30" s="16"/>
      <c r="M30" s="16"/>
      <c r="N30" s="16"/>
      <c r="O30" s="16"/>
      <c r="P30" s="16"/>
      <c r="Q30" s="16"/>
      <c r="R30" s="16"/>
      <c r="S30" s="16"/>
    </row>
    <row r="31" spans="2:19">
      <c r="C31" s="16"/>
      <c r="D31" s="16"/>
      <c r="E31" s="16"/>
      <c r="F31" s="16"/>
      <c r="G31" s="16"/>
      <c r="H31" s="16"/>
      <c r="I31" s="16"/>
      <c r="J31" s="16"/>
      <c r="K31" s="16"/>
      <c r="L31" s="16"/>
      <c r="M31" s="16"/>
      <c r="N31" s="16"/>
      <c r="O31" s="16"/>
      <c r="P31" s="16"/>
      <c r="Q31" s="16"/>
      <c r="R31" s="16"/>
      <c r="S31" s="16"/>
    </row>
    <row r="32" spans="2:19">
      <c r="C32" s="16"/>
      <c r="D32" s="16"/>
      <c r="E32" s="16"/>
      <c r="F32" s="16"/>
      <c r="G32" s="16"/>
      <c r="H32" s="16"/>
      <c r="I32" s="16"/>
      <c r="J32" s="16"/>
      <c r="K32" s="16"/>
      <c r="L32" s="16"/>
      <c r="M32" s="16"/>
      <c r="N32" s="16"/>
      <c r="O32" s="16"/>
      <c r="P32" s="16"/>
      <c r="Q32" s="16"/>
      <c r="R32" s="16"/>
      <c r="S32" s="16"/>
    </row>
    <row r="33" spans="3:19">
      <c r="C33" s="16"/>
      <c r="D33" s="16"/>
      <c r="E33" s="16"/>
      <c r="F33" s="16"/>
      <c r="G33" s="16"/>
      <c r="H33" s="16"/>
      <c r="I33" s="16"/>
      <c r="J33" s="16"/>
      <c r="K33" s="16"/>
      <c r="L33" s="16"/>
      <c r="M33" s="16"/>
      <c r="N33" s="16"/>
      <c r="O33" s="16"/>
      <c r="P33" s="16"/>
      <c r="Q33" s="16"/>
      <c r="R33" s="16"/>
      <c r="S33" s="16"/>
    </row>
    <row r="34" spans="3:19">
      <c r="C34" s="16"/>
      <c r="D34" s="16"/>
      <c r="E34" s="16"/>
      <c r="F34" s="16"/>
      <c r="G34" s="16"/>
      <c r="H34" s="16"/>
      <c r="I34" s="16"/>
      <c r="J34" s="16"/>
      <c r="K34" s="16"/>
      <c r="L34" s="16"/>
      <c r="M34" s="16"/>
      <c r="N34" s="16"/>
      <c r="O34" s="16"/>
      <c r="P34" s="16"/>
      <c r="Q34" s="16"/>
      <c r="R34" s="16"/>
      <c r="S34" s="16"/>
    </row>
    <row r="35" spans="3:19">
      <c r="C35" s="16"/>
      <c r="D35" s="16"/>
      <c r="E35" s="16"/>
      <c r="F35" s="16"/>
      <c r="G35" s="16"/>
      <c r="H35" s="16"/>
      <c r="I35" s="16"/>
      <c r="J35" s="16"/>
      <c r="K35" s="16"/>
      <c r="L35" s="16"/>
      <c r="M35" s="16"/>
      <c r="N35" s="16"/>
      <c r="O35" s="16"/>
      <c r="P35" s="16"/>
      <c r="Q35" s="16"/>
      <c r="R35" s="16"/>
      <c r="S35" s="16"/>
    </row>
    <row r="36" spans="3:19">
      <c r="C36" s="16"/>
      <c r="D36" s="16"/>
      <c r="E36" s="16"/>
      <c r="F36" s="16"/>
      <c r="G36" s="16"/>
      <c r="H36" s="16"/>
      <c r="I36" s="16"/>
      <c r="J36" s="16"/>
      <c r="K36" s="16"/>
      <c r="L36" s="16"/>
      <c r="M36" s="16"/>
      <c r="N36" s="16"/>
      <c r="O36" s="16"/>
      <c r="P36" s="16"/>
      <c r="Q36" s="16"/>
      <c r="R36" s="16"/>
      <c r="S36" s="16"/>
    </row>
  </sheetData>
  <sheetProtection algorithmName="SHA-512" hashValue="645fivXaYQ1rAiFT/gEeRRvPnvPi/15xbcxArzK41JKQV5A0mACn0auqUnOMiduH7I3RqyAJXdU0ckaSvxdlMg==" saltValue="VzR4fbuWYstq9Mi0VOedwA==" spinCount="100000" sheet="1" objects="1" scenarios="1"/>
  <mergeCells count="1">
    <mergeCell ref="E6:F6"/>
  </mergeCells>
  <phoneticPr fontId="95" type="noConversion"/>
  <conditionalFormatting sqref="D17:F17">
    <cfRule type="expression" dxfId="9" priority="1">
      <formula>$N$107="Interest Only"</formula>
    </cfRule>
  </conditionalFormatting>
  <dataValidations count="2">
    <dataValidation allowBlank="1" showInputMessage="1" showErrorMessage="1" errorTitle="Interest Only Term Incorrect" error="Maximum interest only term of 5 years or total loan term." sqref="D17:F17" xr:uid="{16543BFC-E9E9-4693-ADAC-C67392C73FEE}"/>
    <dataValidation allowBlank="1" showInputMessage="1" showErrorMessage="1" errorTitle="Maximum Loan Term Exceeded" error="Loan term must not exceed 30 years." sqref="D12:F14" xr:uid="{459F839A-93A5-469F-9AAD-5C7C1EAE2D18}"/>
  </dataValidation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locked="0" defaultSize="0" print="0" autoFill="0" autoPict="0" macro="[0]!Sheet5.ClearUnlockedCells">
                <anchor>
                  <from>
                    <xdr:col>5</xdr:col>
                    <xdr:colOff>133350</xdr:colOff>
                    <xdr:row>3</xdr:row>
                    <xdr:rowOff>57150</xdr:rowOff>
                  </from>
                  <to>
                    <xdr:col>5</xdr:col>
                    <xdr:colOff>1095375</xdr:colOff>
                    <xdr:row>4</xdr:row>
                    <xdr:rowOff>285750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FFAE9-4FA3-4DE0-836C-50B2E4D9443E}">
  <sheetPr codeName="Sheet15">
    <pageSetUpPr fitToPage="1"/>
  </sheetPr>
  <dimension ref="A5:J44"/>
  <sheetViews>
    <sheetView showGridLines="0" tabSelected="1" zoomScale="120" zoomScaleNormal="120" workbookViewId="0">
      <selection activeCell="D3" sqref="D3"/>
    </sheetView>
  </sheetViews>
  <sheetFormatPr defaultColWidth="9.140625" defaultRowHeight="15"/>
  <cols>
    <col min="1" max="1" width="5.5703125" style="19" customWidth="1"/>
    <col min="2" max="2" width="25.85546875" style="19" bestFit="1" customWidth="1"/>
    <col min="3" max="6" width="9.140625" style="19"/>
    <col min="7" max="7" width="10.28515625" style="19" customWidth="1"/>
    <col min="8" max="8" width="20.85546875" style="19" customWidth="1"/>
    <col min="9" max="9" width="9.140625" style="19"/>
    <col min="10" max="10" width="13.85546875" style="19" bestFit="1" customWidth="1"/>
    <col min="11" max="16384" width="9.140625" style="19"/>
  </cols>
  <sheetData>
    <row r="5" spans="1:10" ht="28.5" customHeight="1"/>
    <row r="6" spans="1:10" ht="19.5" thickBot="1">
      <c r="B6" s="515" t="s">
        <v>1056</v>
      </c>
      <c r="C6" s="514"/>
      <c r="D6" s="514"/>
      <c r="G6" s="26" t="s">
        <v>288</v>
      </c>
      <c r="H6" s="513">
        <f ca="1">NOW()</f>
        <v>45576.706558217593</v>
      </c>
    </row>
    <row r="7" spans="1:10" ht="15.75" thickTop="1">
      <c r="G7" s="26" t="s">
        <v>990</v>
      </c>
      <c r="H7" s="512" t="s">
        <v>989</v>
      </c>
    </row>
    <row r="8" spans="1:10">
      <c r="A8" s="493">
        <f>MAX(A9:A31)</f>
        <v>1</v>
      </c>
      <c r="B8" s="26" t="s">
        <v>988</v>
      </c>
    </row>
    <row r="9" spans="1:10" ht="15.75">
      <c r="A9" s="493">
        <f>IF(B9="",1,0)</f>
        <v>1</v>
      </c>
      <c r="B9" s="860"/>
      <c r="C9" s="861"/>
      <c r="D9" s="861"/>
      <c r="E9" s="861"/>
      <c r="F9" s="861"/>
      <c r="G9" s="861"/>
      <c r="H9" s="862"/>
      <c r="I9" s="494" t="str">
        <f>IF(B9="","**","")</f>
        <v>**</v>
      </c>
    </row>
    <row r="10" spans="1:10">
      <c r="A10" s="493"/>
      <c r="B10" s="863"/>
      <c r="C10" s="864"/>
      <c r="D10" s="864"/>
      <c r="E10" s="864"/>
      <c r="F10" s="864"/>
      <c r="G10" s="864"/>
      <c r="H10" s="865"/>
    </row>
    <row r="11" spans="1:10">
      <c r="A11" s="493"/>
    </row>
    <row r="12" spans="1:10">
      <c r="A12" s="493"/>
      <c r="B12" s="26" t="s">
        <v>987</v>
      </c>
    </row>
    <row r="13" spans="1:10" ht="15.75">
      <c r="A13" s="493">
        <f>IF(H13="",1,0)</f>
        <v>1</v>
      </c>
      <c r="B13" s="502" t="s">
        <v>986</v>
      </c>
      <c r="C13" s="501"/>
      <c r="D13" s="501"/>
      <c r="E13" s="501"/>
      <c r="F13" s="501"/>
      <c r="G13" s="501"/>
      <c r="H13" s="508"/>
      <c r="I13" s="494" t="str">
        <f>IF(H13="","**","")</f>
        <v>**</v>
      </c>
      <c r="J13" s="493" t="b">
        <f>OR(H13="",H14="",H15="",H18="",H20="",H23="",H30="")</f>
        <v>1</v>
      </c>
    </row>
    <row r="14" spans="1:10" ht="15.75">
      <c r="A14" s="493">
        <f>IF(H14="",1,0)</f>
        <v>1</v>
      </c>
      <c r="B14" s="496" t="s">
        <v>984</v>
      </c>
      <c r="H14" s="511"/>
      <c r="I14" s="494" t="str">
        <f>IF(H14="","**","")</f>
        <v>**</v>
      </c>
    </row>
    <row r="15" spans="1:10" ht="15.75">
      <c r="A15" s="493">
        <f>IF(H15="",1,0)</f>
        <v>1</v>
      </c>
      <c r="B15" s="496" t="s">
        <v>3</v>
      </c>
      <c r="H15" s="511"/>
      <c r="I15" s="494" t="str">
        <f>IF(H15="","**","")</f>
        <v>**</v>
      </c>
    </row>
    <row r="16" spans="1:10" ht="15.75">
      <c r="A16" s="493"/>
      <c r="B16" s="496" t="s">
        <v>983</v>
      </c>
      <c r="H16" s="510">
        <f>IF(ISERROR(H14/H15),0,H14/H15)</f>
        <v>0</v>
      </c>
      <c r="I16" s="494"/>
    </row>
    <row r="17" spans="1:10" ht="15.75" hidden="1">
      <c r="A17" s="493"/>
      <c r="B17" s="496" t="s">
        <v>265</v>
      </c>
      <c r="H17" s="509" t="str">
        <f>IF(H18=0,"",IF(H18&gt;H19,"Principal &amp; Interest","Interest Only"))</f>
        <v/>
      </c>
      <c r="I17" s="494"/>
    </row>
    <row r="18" spans="1:10" ht="15.75">
      <c r="A18" s="493">
        <f>IF(H18="",1,0)</f>
        <v>1</v>
      </c>
      <c r="B18" s="496" t="s">
        <v>5</v>
      </c>
      <c r="H18" s="508"/>
      <c r="I18" s="494" t="str">
        <f>IF(H18="","**","")</f>
        <v>**</v>
      </c>
    </row>
    <row r="19" spans="1:10" ht="15.75">
      <c r="A19" s="493"/>
      <c r="B19" s="496" t="s">
        <v>828</v>
      </c>
      <c r="H19" s="508"/>
      <c r="I19" s="494"/>
      <c r="J19" s="507"/>
    </row>
    <row r="20" spans="1:10" ht="15.75">
      <c r="A20" s="493">
        <f>IF(H20="",1,0)</f>
        <v>1</v>
      </c>
      <c r="B20" s="492" t="s">
        <v>6</v>
      </c>
      <c r="C20" s="491"/>
      <c r="D20" s="491"/>
      <c r="E20" s="491"/>
      <c r="F20" s="491"/>
      <c r="G20" s="491"/>
      <c r="H20" s="506"/>
      <c r="I20" s="494" t="str">
        <f>IF(H20="","**","")</f>
        <v>**</v>
      </c>
    </row>
    <row r="21" spans="1:10">
      <c r="A21" s="493"/>
      <c r="I21" s="487"/>
    </row>
    <row r="22" spans="1:10">
      <c r="A22" s="493"/>
      <c r="B22" s="26" t="s">
        <v>982</v>
      </c>
      <c r="I22" s="487"/>
    </row>
    <row r="23" spans="1:10" ht="15.75">
      <c r="A23" s="493">
        <f>IF(H23="",1,0)</f>
        <v>1</v>
      </c>
      <c r="B23" s="502" t="s">
        <v>980</v>
      </c>
      <c r="C23" s="501"/>
      <c r="D23" s="501"/>
      <c r="E23" s="501"/>
      <c r="F23" s="501"/>
      <c r="G23" s="505" t="str">
        <f>IF(H23="","**","")</f>
        <v>**</v>
      </c>
      <c r="H23" s="495"/>
      <c r="I23" s="504"/>
    </row>
    <row r="24" spans="1:10">
      <c r="A24" s="493"/>
      <c r="B24" s="492" t="s">
        <v>979</v>
      </c>
      <c r="C24" s="491"/>
      <c r="D24" s="491"/>
      <c r="E24" s="491"/>
      <c r="F24" s="491"/>
      <c r="G24" s="491"/>
      <c r="H24" s="490">
        <f>IF(ISERROR(H23*12),0,H23*12+(H23*12)*20%)</f>
        <v>0</v>
      </c>
      <c r="I24" s="487"/>
    </row>
    <row r="25" spans="1:10">
      <c r="A25" s="493"/>
      <c r="H25" s="503"/>
      <c r="I25" s="487"/>
    </row>
    <row r="26" spans="1:10">
      <c r="A26" s="493"/>
      <c r="B26" s="26" t="s">
        <v>981</v>
      </c>
      <c r="I26" s="487"/>
    </row>
    <row r="27" spans="1:10" ht="15" customHeight="1">
      <c r="A27" s="493"/>
      <c r="B27" s="502" t="s">
        <v>980</v>
      </c>
      <c r="C27" s="501"/>
      <c r="D27" s="500"/>
      <c r="E27" s="500"/>
      <c r="F27" s="500"/>
      <c r="G27" s="499"/>
      <c r="H27" s="490">
        <f>IF(H17="Principal &amp; Interest",-PMT(H20/12,(H18-H19)*12,H14,0,0)+15,IF(H17="Interest Only",(H14*H20)/12+15,0))</f>
        <v>0</v>
      </c>
      <c r="I27" s="487"/>
    </row>
    <row r="28" spans="1:10">
      <c r="A28" s="493"/>
      <c r="B28" s="496" t="s">
        <v>979</v>
      </c>
      <c r="D28" s="498"/>
      <c r="E28" s="498"/>
      <c r="F28" s="498"/>
      <c r="G28" s="498"/>
      <c r="H28" s="490">
        <f>IF(ISERROR(H27*12),0,H27*12)</f>
        <v>0</v>
      </c>
      <c r="I28" s="487"/>
    </row>
    <row r="29" spans="1:10">
      <c r="A29" s="493"/>
      <c r="B29" s="496"/>
      <c r="D29" s="498"/>
      <c r="E29" s="498"/>
      <c r="F29" s="498"/>
      <c r="G29" s="498"/>
      <c r="H29" s="497"/>
      <c r="I29" s="487"/>
    </row>
    <row r="30" spans="1:10" ht="15.75">
      <c r="A30" s="493">
        <f>IF(H30="",1,0)</f>
        <v>1</v>
      </c>
      <c r="B30" s="496" t="s">
        <v>824</v>
      </c>
      <c r="H30" s="495"/>
      <c r="I30" s="494" t="str">
        <f>IF(H30="","**","")</f>
        <v>**</v>
      </c>
    </row>
    <row r="31" spans="1:10">
      <c r="A31" s="493"/>
      <c r="B31" s="492" t="s">
        <v>823</v>
      </c>
      <c r="C31" s="491"/>
      <c r="D31" s="491"/>
      <c r="E31" s="491"/>
      <c r="F31" s="491"/>
      <c r="G31" s="491"/>
      <c r="H31" s="490">
        <f>IF(ISERROR(H30*12),0,H30*12)</f>
        <v>0</v>
      </c>
      <c r="I31" s="487"/>
    </row>
    <row r="32" spans="1:10">
      <c r="B32" s="489" t="s">
        <v>978</v>
      </c>
      <c r="I32" s="487"/>
    </row>
    <row r="33" spans="2:10" ht="7.5" customHeight="1" thickBot="1">
      <c r="I33" s="487"/>
    </row>
    <row r="34" spans="2:10" ht="19.5" thickBot="1">
      <c r="B34" s="485" t="s">
        <v>977</v>
      </c>
      <c r="H34" s="488">
        <v>0</v>
      </c>
      <c r="I34" s="487"/>
      <c r="J34" s="486"/>
    </row>
    <row r="35" spans="2:10" ht="19.5" thickBot="1">
      <c r="B35" s="485" t="s">
        <v>976</v>
      </c>
      <c r="H35" s="484">
        <f>H30-H27</f>
        <v>0</v>
      </c>
    </row>
    <row r="36" spans="2:10" ht="18.75">
      <c r="B36" s="483"/>
    </row>
    <row r="37" spans="2:10">
      <c r="B37" s="866"/>
      <c r="C37" s="867"/>
      <c r="D37" s="867"/>
      <c r="E37" s="867"/>
      <c r="F37" s="867"/>
      <c r="G37" s="867"/>
      <c r="H37" s="867"/>
    </row>
    <row r="38" spans="2:10">
      <c r="B38" s="867"/>
      <c r="C38" s="867"/>
      <c r="D38" s="867"/>
      <c r="E38" s="867"/>
      <c r="F38" s="867"/>
      <c r="G38" s="867"/>
      <c r="H38" s="867"/>
    </row>
    <row r="39" spans="2:10">
      <c r="B39" s="867"/>
      <c r="C39" s="867"/>
      <c r="D39" s="867"/>
      <c r="E39" s="867"/>
      <c r="F39" s="867"/>
      <c r="G39" s="867"/>
      <c r="H39" s="867"/>
    </row>
    <row r="40" spans="2:10">
      <c r="B40" s="867"/>
      <c r="C40" s="867"/>
      <c r="D40" s="867"/>
      <c r="E40" s="867"/>
      <c r="F40" s="867"/>
      <c r="G40" s="867"/>
      <c r="H40" s="867"/>
    </row>
    <row r="41" spans="2:10">
      <c r="B41" s="867"/>
      <c r="C41" s="867"/>
      <c r="D41" s="867"/>
      <c r="E41" s="867"/>
      <c r="F41" s="867"/>
      <c r="G41" s="867"/>
      <c r="H41" s="867"/>
    </row>
    <row r="42" spans="2:10">
      <c r="B42" s="867"/>
      <c r="C42" s="867"/>
      <c r="D42" s="867"/>
      <c r="E42" s="867"/>
      <c r="F42" s="867"/>
      <c r="G42" s="867"/>
      <c r="H42" s="867"/>
    </row>
    <row r="43" spans="2:10">
      <c r="B43" s="867"/>
      <c r="C43" s="867"/>
      <c r="D43" s="867"/>
      <c r="E43" s="867"/>
      <c r="F43" s="867"/>
      <c r="G43" s="867"/>
      <c r="H43" s="867"/>
    </row>
    <row r="44" spans="2:10">
      <c r="B44" s="867"/>
      <c r="C44" s="867"/>
      <c r="D44" s="867"/>
      <c r="E44" s="867"/>
      <c r="F44" s="867"/>
      <c r="G44" s="867"/>
      <c r="H44" s="867"/>
    </row>
  </sheetData>
  <sheetProtection algorithmName="SHA-512" hashValue="b+kCmrqo48FgL5fvewsMD+Yz9mk0zNrf1btqSqjCwmDMIU+rpeIA3O9DIX5+MzTPJ+iskeoAPo5EfKjP33e1HQ==" saltValue="dC29JtDappC1OolH8neP6g==" spinCount="100000" sheet="1" objects="1" scenarios="1"/>
  <mergeCells count="2">
    <mergeCell ref="B9:H10"/>
    <mergeCell ref="B37:H44"/>
  </mergeCells>
  <conditionalFormatting sqref="B9:H10 H13:H15 H27 H30 H23 H20 H18">
    <cfRule type="cellIs" dxfId="8" priority="6" operator="equal">
      <formula>""</formula>
    </cfRule>
  </conditionalFormatting>
  <conditionalFormatting sqref="H16">
    <cfRule type="cellIs" dxfId="7" priority="5" operator="greaterThan">
      <formula>0</formula>
    </cfRule>
  </conditionalFormatting>
  <conditionalFormatting sqref="H28 H31 H24:H25">
    <cfRule type="cellIs" dxfId="6" priority="4" operator="greaterThan">
      <formula>0</formula>
    </cfRule>
  </conditionalFormatting>
  <conditionalFormatting sqref="H17">
    <cfRule type="cellIs" dxfId="5" priority="3" operator="notEqual">
      <formula>""</formula>
    </cfRule>
  </conditionalFormatting>
  <conditionalFormatting sqref="H27">
    <cfRule type="expression" dxfId="4" priority="7">
      <formula>$H$27&gt;$H$23</formula>
    </cfRule>
  </conditionalFormatting>
  <conditionalFormatting sqref="H35">
    <cfRule type="cellIs" dxfId="3" priority="1" operator="greaterThan">
      <formula>0</formula>
    </cfRule>
    <cfRule type="cellIs" dxfId="2" priority="2" operator="lessThanOrEqual">
      <formula>0</formula>
    </cfRule>
  </conditionalFormatting>
  <dataValidations count="3">
    <dataValidation type="whole" allowBlank="1" showInputMessage="1" showErrorMessage="1" sqref="H19" xr:uid="{00000000-0002-0000-0000-000002000000}">
      <formula1>0</formula1>
      <formula2>5</formula2>
    </dataValidation>
    <dataValidation type="whole" allowBlank="1" showInputMessage="1" showErrorMessage="1" sqref="H18" xr:uid="{00000000-0002-0000-0000-000001000000}">
      <formula1>1</formula1>
      <formula2>30</formula2>
    </dataValidation>
    <dataValidation type="list" allowBlank="1" showInputMessage="1" showErrorMessage="1" sqref="H13" xr:uid="{00000000-0002-0000-0000-000000000000}">
      <formula1>SecType</formula1>
    </dataValidation>
  </dataValidations>
  <pageMargins left="0.7" right="0.7" top="0.75" bottom="0.75" header="0.3" footer="0.3"/>
  <pageSetup paperSize="9" scale="58" fitToHeight="0" orientation="portrait" r:id="rId1"/>
  <drawing r:id="rId2"/>
  <legacyDrawing r:id="rId3"/>
  <controls>
    <mc:AlternateContent xmlns:mc="http://schemas.openxmlformats.org/markup-compatibility/2006">
      <mc:Choice Requires="x14">
        <control shapeId="64514" r:id="rId4" name="CMD_PrintCalc">
          <controlPr defaultSize="0" print="0" autoLine="0" r:id="rId5">
            <anchor moveWithCells="1">
              <from>
                <xdr:col>8</xdr:col>
                <xdr:colOff>495300</xdr:colOff>
                <xdr:row>7</xdr:row>
                <xdr:rowOff>85725</xdr:rowOff>
              </from>
              <to>
                <xdr:col>10</xdr:col>
                <xdr:colOff>285750</xdr:colOff>
                <xdr:row>9</xdr:row>
                <xdr:rowOff>152400</xdr:rowOff>
              </to>
            </anchor>
          </controlPr>
        </control>
      </mc:Choice>
      <mc:Fallback>
        <control shapeId="64514" r:id="rId4" name="CMD_PrintCalc"/>
      </mc:Fallback>
    </mc:AlternateContent>
    <mc:AlternateContent xmlns:mc="http://schemas.openxmlformats.org/markup-compatibility/2006">
      <mc:Choice Requires="x14">
        <control shapeId="64513" r:id="rId6" name="CMD_ResetCalc">
          <controlPr defaultSize="0" print="0" autoLine="0" r:id="rId7">
            <anchor moveWithCells="1">
              <from>
                <xdr:col>8</xdr:col>
                <xdr:colOff>485775</xdr:colOff>
                <xdr:row>5</xdr:row>
                <xdr:rowOff>57150</xdr:rowOff>
              </from>
              <to>
                <xdr:col>10</xdr:col>
                <xdr:colOff>323850</xdr:colOff>
                <xdr:row>7</xdr:row>
                <xdr:rowOff>57150</xdr:rowOff>
              </to>
            </anchor>
          </controlPr>
        </control>
      </mc:Choice>
      <mc:Fallback>
        <control shapeId="64513" r:id="rId6" name="CMD_ResetCalc"/>
      </mc:Fallback>
    </mc:AlternateContent>
  </control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ACF2A-A8DC-4B88-B28F-D7BC3BF4C5A7}">
  <sheetPr codeName="Sheet16"/>
  <dimension ref="A1:Q107"/>
  <sheetViews>
    <sheetView showGridLines="0" workbookViewId="0">
      <selection activeCell="P14" sqref="P14"/>
    </sheetView>
  </sheetViews>
  <sheetFormatPr defaultRowHeight="15"/>
  <cols>
    <col min="1" max="1" width="12.85546875" bestFit="1" customWidth="1"/>
    <col min="2" max="2" width="18.28515625" bestFit="1" customWidth="1"/>
    <col min="4" max="4" width="12.85546875" bestFit="1" customWidth="1"/>
    <col min="5" max="5" width="16.7109375" bestFit="1" customWidth="1"/>
    <col min="6" max="6" width="17" bestFit="1" customWidth="1"/>
    <col min="9" max="9" width="12.85546875" bestFit="1" customWidth="1"/>
    <col min="16" max="16" width="20.42578125" bestFit="1" customWidth="1"/>
    <col min="17" max="17" width="0" hidden="1" customWidth="1"/>
  </cols>
  <sheetData>
    <row r="1" spans="1:17">
      <c r="A1" s="521" t="s">
        <v>986</v>
      </c>
      <c r="B1" s="521" t="s">
        <v>265</v>
      </c>
      <c r="D1" s="524" t="s">
        <v>986</v>
      </c>
      <c r="E1" s="524" t="s">
        <v>1005</v>
      </c>
      <c r="F1" s="524" t="s">
        <v>1004</v>
      </c>
      <c r="G1" s="524" t="s">
        <v>4</v>
      </c>
      <c r="I1" s="524" t="s">
        <v>1003</v>
      </c>
    </row>
    <row r="2" spans="1:17">
      <c r="A2" t="s">
        <v>985</v>
      </c>
      <c r="B2" t="s">
        <v>208</v>
      </c>
      <c r="D2" t="s">
        <v>985</v>
      </c>
      <c r="E2" s="523">
        <v>150000</v>
      </c>
      <c r="F2" s="523">
        <v>1500000</v>
      </c>
      <c r="G2" s="522">
        <v>0.7</v>
      </c>
      <c r="I2" t="b">
        <f>OR('SMSF Refinance Prime'!H13="",'SMSF Refinance Prime'!H14="",'SMSF Refinance Prime'!H15="")</f>
        <v>1</v>
      </c>
    </row>
    <row r="3" spans="1:17">
      <c r="A3" t="s">
        <v>1002</v>
      </c>
      <c r="B3" t="s">
        <v>207</v>
      </c>
      <c r="D3" t="s">
        <v>1002</v>
      </c>
      <c r="E3" s="523">
        <v>150000</v>
      </c>
      <c r="F3" s="523">
        <v>2000000</v>
      </c>
      <c r="G3" s="522">
        <v>0.7</v>
      </c>
    </row>
    <row r="6" spans="1:17" hidden="1">
      <c r="B6" s="521" t="s">
        <v>1001</v>
      </c>
      <c r="C6" t="s">
        <v>989</v>
      </c>
      <c r="P6" s="520" t="s">
        <v>1000</v>
      </c>
      <c r="Q6" t="str">
        <f>IF(ISERROR(VLOOKUP(C6,P7:P50,1,0)),"Not Found!",VLOOKUP(C6,P7:P50,1,0))</f>
        <v>Not Found!</v>
      </c>
    </row>
    <row r="7" spans="1:17">
      <c r="B7" s="519" t="s">
        <v>999</v>
      </c>
      <c r="C7" s="518"/>
      <c r="D7" s="518"/>
      <c r="E7" s="518"/>
      <c r="F7" s="518"/>
      <c r="G7" s="517"/>
      <c r="H7" s="517"/>
      <c r="I7" s="517"/>
      <c r="J7" s="517"/>
      <c r="K7" s="517"/>
      <c r="L7" s="517"/>
      <c r="M7" s="517"/>
      <c r="N7" s="517"/>
      <c r="P7" s="516"/>
    </row>
    <row r="8" spans="1:17">
      <c r="A8">
        <v>1</v>
      </c>
      <c r="B8" s="408" t="s">
        <v>998</v>
      </c>
      <c r="P8" s="516"/>
    </row>
    <row r="9" spans="1:17" ht="15" customHeight="1">
      <c r="A9">
        <f t="shared" ref="A9:A40" si="0">A8+1</f>
        <v>2</v>
      </c>
      <c r="B9" s="408"/>
      <c r="C9" s="408"/>
      <c r="D9" s="408"/>
      <c r="E9" s="408"/>
      <c r="F9" s="408"/>
      <c r="P9" s="516"/>
    </row>
    <row r="10" spans="1:17">
      <c r="A10">
        <f t="shared" si="0"/>
        <v>3</v>
      </c>
      <c r="B10" s="408" t="s">
        <v>997</v>
      </c>
      <c r="C10" s="408"/>
      <c r="D10" s="408"/>
      <c r="E10" s="408"/>
      <c r="F10" s="408"/>
      <c r="P10" s="516"/>
    </row>
    <row r="11" spans="1:17">
      <c r="A11">
        <f t="shared" si="0"/>
        <v>4</v>
      </c>
      <c r="B11" s="408" t="s">
        <v>996</v>
      </c>
      <c r="C11" s="408"/>
      <c r="D11" s="408"/>
      <c r="E11" s="408"/>
      <c r="F11" s="408"/>
      <c r="P11" s="516"/>
    </row>
    <row r="12" spans="1:17">
      <c r="A12">
        <f t="shared" si="0"/>
        <v>5</v>
      </c>
      <c r="B12" s="408" t="s">
        <v>995</v>
      </c>
      <c r="C12" s="408"/>
      <c r="D12" s="408"/>
      <c r="E12" s="408"/>
      <c r="F12" s="408"/>
      <c r="P12" s="516"/>
    </row>
    <row r="13" spans="1:17">
      <c r="A13">
        <f t="shared" si="0"/>
        <v>6</v>
      </c>
      <c r="B13" s="408" t="s">
        <v>994</v>
      </c>
      <c r="C13" s="408"/>
      <c r="D13" s="408"/>
      <c r="E13" s="408"/>
      <c r="F13" s="408"/>
      <c r="P13" s="516"/>
    </row>
    <row r="14" spans="1:17">
      <c r="A14">
        <f t="shared" si="0"/>
        <v>7</v>
      </c>
      <c r="B14" s="408" t="s">
        <v>993</v>
      </c>
      <c r="C14" s="408"/>
      <c r="D14" s="408"/>
      <c r="E14" s="408"/>
      <c r="F14" s="408"/>
      <c r="P14" s="516" t="s">
        <v>992</v>
      </c>
    </row>
    <row r="15" spans="1:17">
      <c r="A15">
        <f t="shared" si="0"/>
        <v>8</v>
      </c>
      <c r="B15" s="408" t="s">
        <v>991</v>
      </c>
      <c r="C15" s="408"/>
      <c r="D15" s="408"/>
      <c r="E15" s="408"/>
      <c r="F15" s="408"/>
      <c r="P15" s="516"/>
    </row>
    <row r="16" spans="1:17">
      <c r="A16">
        <f t="shared" si="0"/>
        <v>9</v>
      </c>
      <c r="C16" s="408"/>
      <c r="D16" s="408"/>
      <c r="E16" s="408"/>
      <c r="F16" s="408"/>
      <c r="P16" s="516"/>
    </row>
    <row r="17" spans="1:16">
      <c r="A17">
        <f t="shared" si="0"/>
        <v>10</v>
      </c>
      <c r="C17" s="408"/>
      <c r="D17" s="408"/>
      <c r="E17" s="408"/>
      <c r="F17" s="408"/>
      <c r="P17" s="516"/>
    </row>
    <row r="18" spans="1:16">
      <c r="A18">
        <f t="shared" si="0"/>
        <v>11</v>
      </c>
      <c r="B18" s="408"/>
      <c r="C18" s="408"/>
      <c r="D18" s="408"/>
      <c r="E18" s="408"/>
      <c r="F18" s="408"/>
      <c r="P18" s="516"/>
    </row>
    <row r="19" spans="1:16">
      <c r="A19">
        <f t="shared" si="0"/>
        <v>12</v>
      </c>
      <c r="B19" s="408"/>
      <c r="C19" s="408"/>
      <c r="D19" s="408"/>
      <c r="E19" s="408"/>
      <c r="F19" s="408"/>
      <c r="P19" s="516"/>
    </row>
    <row r="20" spans="1:16">
      <c r="A20">
        <f t="shared" si="0"/>
        <v>13</v>
      </c>
      <c r="B20" s="408"/>
      <c r="C20" s="408"/>
      <c r="D20" s="408"/>
      <c r="E20" s="408"/>
      <c r="F20" s="408"/>
      <c r="P20" s="516"/>
    </row>
    <row r="21" spans="1:16">
      <c r="A21">
        <f t="shared" si="0"/>
        <v>14</v>
      </c>
      <c r="B21" s="408"/>
      <c r="C21" s="408"/>
      <c r="D21" s="408"/>
      <c r="E21" s="408"/>
      <c r="F21" s="408"/>
      <c r="P21" s="516"/>
    </row>
    <row r="22" spans="1:16">
      <c r="A22">
        <f t="shared" si="0"/>
        <v>15</v>
      </c>
      <c r="B22" s="408"/>
      <c r="C22" s="408"/>
      <c r="D22" s="408"/>
      <c r="E22" s="408"/>
      <c r="F22" s="408"/>
      <c r="P22" s="516"/>
    </row>
    <row r="23" spans="1:16">
      <c r="A23">
        <f t="shared" si="0"/>
        <v>16</v>
      </c>
      <c r="B23" s="408"/>
      <c r="C23" s="408"/>
      <c r="D23" s="408"/>
      <c r="E23" s="408"/>
      <c r="F23" s="408"/>
      <c r="P23" s="516"/>
    </row>
    <row r="24" spans="1:16">
      <c r="A24">
        <f t="shared" si="0"/>
        <v>17</v>
      </c>
      <c r="B24" s="408"/>
      <c r="C24" s="408"/>
      <c r="D24" s="408"/>
      <c r="E24" s="408"/>
      <c r="F24" s="408"/>
      <c r="P24" s="516"/>
    </row>
    <row r="25" spans="1:16">
      <c r="A25">
        <f t="shared" si="0"/>
        <v>18</v>
      </c>
      <c r="B25" s="408"/>
      <c r="C25" s="408"/>
      <c r="D25" s="408"/>
      <c r="E25" s="408"/>
      <c r="F25" s="408"/>
      <c r="P25" s="516"/>
    </row>
    <row r="26" spans="1:16">
      <c r="A26">
        <f t="shared" si="0"/>
        <v>19</v>
      </c>
      <c r="B26" s="408"/>
      <c r="C26" s="408"/>
      <c r="D26" s="408"/>
      <c r="E26" s="408"/>
      <c r="F26" s="408"/>
    </row>
    <row r="27" spans="1:16">
      <c r="A27">
        <f t="shared" si="0"/>
        <v>20</v>
      </c>
      <c r="B27" s="408"/>
      <c r="C27" s="408"/>
      <c r="D27" s="408"/>
      <c r="E27" s="408"/>
      <c r="F27" s="408"/>
    </row>
    <row r="28" spans="1:16">
      <c r="A28">
        <f t="shared" si="0"/>
        <v>21</v>
      </c>
      <c r="B28" s="408"/>
      <c r="C28" s="408"/>
      <c r="D28" s="408"/>
      <c r="E28" s="408"/>
      <c r="F28" s="408"/>
    </row>
    <row r="29" spans="1:16">
      <c r="A29">
        <f t="shared" si="0"/>
        <v>22</v>
      </c>
      <c r="B29" s="408"/>
      <c r="C29" s="408"/>
      <c r="D29" s="408"/>
      <c r="E29" s="408"/>
      <c r="F29" s="408"/>
    </row>
    <row r="30" spans="1:16">
      <c r="A30">
        <f t="shared" si="0"/>
        <v>23</v>
      </c>
      <c r="B30" s="408"/>
      <c r="C30" s="408"/>
      <c r="D30" s="408"/>
      <c r="E30" s="408"/>
      <c r="F30" s="408"/>
    </row>
    <row r="31" spans="1:16">
      <c r="A31">
        <f t="shared" si="0"/>
        <v>24</v>
      </c>
      <c r="B31" s="408"/>
    </row>
    <row r="32" spans="1:16">
      <c r="A32">
        <f t="shared" si="0"/>
        <v>25</v>
      </c>
      <c r="B32" s="408"/>
    </row>
    <row r="33" spans="1:2">
      <c r="A33">
        <f t="shared" si="0"/>
        <v>26</v>
      </c>
      <c r="B33" s="408"/>
    </row>
    <row r="34" spans="1:2">
      <c r="A34">
        <f t="shared" si="0"/>
        <v>27</v>
      </c>
      <c r="B34" s="408"/>
    </row>
    <row r="35" spans="1:2">
      <c r="A35">
        <f t="shared" si="0"/>
        <v>28</v>
      </c>
      <c r="B35" s="408"/>
    </row>
    <row r="36" spans="1:2">
      <c r="A36">
        <f t="shared" si="0"/>
        <v>29</v>
      </c>
    </row>
    <row r="37" spans="1:2">
      <c r="A37">
        <f t="shared" si="0"/>
        <v>30</v>
      </c>
    </row>
    <row r="38" spans="1:2">
      <c r="A38">
        <f t="shared" si="0"/>
        <v>31</v>
      </c>
    </row>
    <row r="39" spans="1:2">
      <c r="A39">
        <f t="shared" si="0"/>
        <v>32</v>
      </c>
    </row>
    <row r="40" spans="1:2">
      <c r="A40">
        <f t="shared" si="0"/>
        <v>33</v>
      </c>
    </row>
    <row r="41" spans="1:2">
      <c r="A41">
        <f t="shared" ref="A41:A72" si="1">A40+1</f>
        <v>34</v>
      </c>
    </row>
    <row r="42" spans="1:2">
      <c r="A42">
        <f t="shared" si="1"/>
        <v>35</v>
      </c>
    </row>
    <row r="43" spans="1:2">
      <c r="A43">
        <f t="shared" si="1"/>
        <v>36</v>
      </c>
    </row>
    <row r="44" spans="1:2">
      <c r="A44">
        <f t="shared" si="1"/>
        <v>37</v>
      </c>
    </row>
    <row r="45" spans="1:2">
      <c r="A45">
        <f t="shared" si="1"/>
        <v>38</v>
      </c>
    </row>
    <row r="46" spans="1:2">
      <c r="A46">
        <f t="shared" si="1"/>
        <v>39</v>
      </c>
    </row>
    <row r="47" spans="1:2">
      <c r="A47">
        <f t="shared" si="1"/>
        <v>40</v>
      </c>
    </row>
    <row r="48" spans="1:2">
      <c r="A48">
        <f t="shared" si="1"/>
        <v>41</v>
      </c>
    </row>
    <row r="49" spans="1:1">
      <c r="A49">
        <f t="shared" si="1"/>
        <v>42</v>
      </c>
    </row>
    <row r="50" spans="1:1">
      <c r="A50">
        <f t="shared" si="1"/>
        <v>43</v>
      </c>
    </row>
    <row r="51" spans="1:1">
      <c r="A51">
        <f t="shared" si="1"/>
        <v>44</v>
      </c>
    </row>
    <row r="52" spans="1:1">
      <c r="A52">
        <f t="shared" si="1"/>
        <v>45</v>
      </c>
    </row>
    <row r="53" spans="1:1">
      <c r="A53">
        <f t="shared" si="1"/>
        <v>46</v>
      </c>
    </row>
    <row r="54" spans="1:1">
      <c r="A54">
        <f t="shared" si="1"/>
        <v>47</v>
      </c>
    </row>
    <row r="55" spans="1:1">
      <c r="A55">
        <f t="shared" si="1"/>
        <v>48</v>
      </c>
    </row>
    <row r="56" spans="1:1">
      <c r="A56">
        <f t="shared" si="1"/>
        <v>49</v>
      </c>
    </row>
    <row r="57" spans="1:1">
      <c r="A57">
        <f t="shared" si="1"/>
        <v>50</v>
      </c>
    </row>
    <row r="58" spans="1:1">
      <c r="A58">
        <f t="shared" si="1"/>
        <v>51</v>
      </c>
    </row>
    <row r="59" spans="1:1">
      <c r="A59">
        <f t="shared" si="1"/>
        <v>52</v>
      </c>
    </row>
    <row r="60" spans="1:1">
      <c r="A60">
        <f t="shared" si="1"/>
        <v>53</v>
      </c>
    </row>
    <row r="61" spans="1:1">
      <c r="A61">
        <f t="shared" si="1"/>
        <v>54</v>
      </c>
    </row>
    <row r="62" spans="1:1">
      <c r="A62">
        <f t="shared" si="1"/>
        <v>55</v>
      </c>
    </row>
    <row r="63" spans="1:1">
      <c r="A63">
        <f t="shared" si="1"/>
        <v>56</v>
      </c>
    </row>
    <row r="64" spans="1:1">
      <c r="A64">
        <f t="shared" si="1"/>
        <v>57</v>
      </c>
    </row>
    <row r="65" spans="1:1">
      <c r="A65">
        <f t="shared" si="1"/>
        <v>58</v>
      </c>
    </row>
    <row r="66" spans="1:1">
      <c r="A66">
        <f t="shared" si="1"/>
        <v>59</v>
      </c>
    </row>
    <row r="67" spans="1:1">
      <c r="A67">
        <f t="shared" si="1"/>
        <v>60</v>
      </c>
    </row>
    <row r="68" spans="1:1">
      <c r="A68">
        <f t="shared" si="1"/>
        <v>61</v>
      </c>
    </row>
    <row r="69" spans="1:1">
      <c r="A69">
        <f t="shared" si="1"/>
        <v>62</v>
      </c>
    </row>
    <row r="70" spans="1:1">
      <c r="A70">
        <f t="shared" si="1"/>
        <v>63</v>
      </c>
    </row>
    <row r="71" spans="1:1">
      <c r="A71">
        <f t="shared" si="1"/>
        <v>64</v>
      </c>
    </row>
    <row r="72" spans="1:1">
      <c r="A72">
        <f t="shared" si="1"/>
        <v>65</v>
      </c>
    </row>
    <row r="73" spans="1:1">
      <c r="A73">
        <f t="shared" ref="A73:A107" si="2">A72+1</f>
        <v>66</v>
      </c>
    </row>
    <row r="74" spans="1:1">
      <c r="A74">
        <f t="shared" si="2"/>
        <v>67</v>
      </c>
    </row>
    <row r="75" spans="1:1">
      <c r="A75">
        <f t="shared" si="2"/>
        <v>68</v>
      </c>
    </row>
    <row r="76" spans="1:1">
      <c r="A76">
        <f t="shared" si="2"/>
        <v>69</v>
      </c>
    </row>
    <row r="77" spans="1:1">
      <c r="A77">
        <f t="shared" si="2"/>
        <v>70</v>
      </c>
    </row>
    <row r="78" spans="1:1">
      <c r="A78">
        <f t="shared" si="2"/>
        <v>71</v>
      </c>
    </row>
    <row r="79" spans="1:1">
      <c r="A79">
        <f t="shared" si="2"/>
        <v>72</v>
      </c>
    </row>
    <row r="80" spans="1:1">
      <c r="A80">
        <f t="shared" si="2"/>
        <v>73</v>
      </c>
    </row>
    <row r="81" spans="1:1">
      <c r="A81">
        <f t="shared" si="2"/>
        <v>74</v>
      </c>
    </row>
    <row r="82" spans="1:1">
      <c r="A82">
        <f t="shared" si="2"/>
        <v>75</v>
      </c>
    </row>
    <row r="83" spans="1:1">
      <c r="A83">
        <f t="shared" si="2"/>
        <v>76</v>
      </c>
    </row>
    <row r="84" spans="1:1">
      <c r="A84">
        <f t="shared" si="2"/>
        <v>77</v>
      </c>
    </row>
    <row r="85" spans="1:1">
      <c r="A85">
        <f t="shared" si="2"/>
        <v>78</v>
      </c>
    </row>
    <row r="86" spans="1:1">
      <c r="A86">
        <f t="shared" si="2"/>
        <v>79</v>
      </c>
    </row>
    <row r="87" spans="1:1">
      <c r="A87">
        <f t="shared" si="2"/>
        <v>80</v>
      </c>
    </row>
    <row r="88" spans="1:1">
      <c r="A88">
        <f t="shared" si="2"/>
        <v>81</v>
      </c>
    </row>
    <row r="89" spans="1:1">
      <c r="A89">
        <f t="shared" si="2"/>
        <v>82</v>
      </c>
    </row>
    <row r="90" spans="1:1">
      <c r="A90">
        <f t="shared" si="2"/>
        <v>83</v>
      </c>
    </row>
    <row r="91" spans="1:1">
      <c r="A91">
        <f t="shared" si="2"/>
        <v>84</v>
      </c>
    </row>
    <row r="92" spans="1:1">
      <c r="A92">
        <f t="shared" si="2"/>
        <v>85</v>
      </c>
    </row>
    <row r="93" spans="1:1">
      <c r="A93">
        <f t="shared" si="2"/>
        <v>86</v>
      </c>
    </row>
    <row r="94" spans="1:1">
      <c r="A94">
        <f t="shared" si="2"/>
        <v>87</v>
      </c>
    </row>
    <row r="95" spans="1:1">
      <c r="A95">
        <f t="shared" si="2"/>
        <v>88</v>
      </c>
    </row>
    <row r="96" spans="1:1">
      <c r="A96">
        <f t="shared" si="2"/>
        <v>89</v>
      </c>
    </row>
    <row r="97" spans="1:1">
      <c r="A97">
        <f t="shared" si="2"/>
        <v>90</v>
      </c>
    </row>
    <row r="98" spans="1:1">
      <c r="A98">
        <f t="shared" si="2"/>
        <v>91</v>
      </c>
    </row>
    <row r="99" spans="1:1">
      <c r="A99">
        <f t="shared" si="2"/>
        <v>92</v>
      </c>
    </row>
    <row r="100" spans="1:1">
      <c r="A100">
        <f t="shared" si="2"/>
        <v>93</v>
      </c>
    </row>
    <row r="101" spans="1:1">
      <c r="A101">
        <f t="shared" si="2"/>
        <v>94</v>
      </c>
    </row>
    <row r="102" spans="1:1">
      <c r="A102">
        <f t="shared" si="2"/>
        <v>95</v>
      </c>
    </row>
    <row r="103" spans="1:1">
      <c r="A103">
        <f t="shared" si="2"/>
        <v>96</v>
      </c>
    </row>
    <row r="104" spans="1:1">
      <c r="A104">
        <f t="shared" si="2"/>
        <v>97</v>
      </c>
    </row>
    <row r="105" spans="1:1">
      <c r="A105">
        <f t="shared" si="2"/>
        <v>98</v>
      </c>
    </row>
    <row r="106" spans="1:1">
      <c r="A106">
        <f t="shared" si="2"/>
        <v>99</v>
      </c>
    </row>
    <row r="107" spans="1:1">
      <c r="A107">
        <f t="shared" si="2"/>
        <v>100</v>
      </c>
    </row>
  </sheetData>
  <sheetProtection algorithmName="SHA-512" hashValue="U7Tpi6OFOEZY4J3hma1V0TR54HIcusOOh3595cYio3O5DxKa2OOq/hAvc+8ZDIgZsjav6oHVof+TrX89K95oOg==" saltValue="MB+5U6lmknRxJGi/WJ/moA==" spinCount="100000" sheet="1" objects="1" scenarios="1"/>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D18F5-8E27-4287-A3C3-CFCA0AA05C97}">
  <sheetPr codeName="Sheet17"/>
  <dimension ref="A1:B54"/>
  <sheetViews>
    <sheetView showGridLines="0" topLeftCell="A23" workbookViewId="0">
      <selection activeCell="B36" sqref="B36"/>
    </sheetView>
  </sheetViews>
  <sheetFormatPr defaultRowHeight="15"/>
  <cols>
    <col min="1" max="1" width="30.42578125" style="525" customWidth="1"/>
    <col min="2" max="2" width="77.42578125" style="525" customWidth="1"/>
  </cols>
  <sheetData>
    <row r="1" spans="1:2" ht="33.75">
      <c r="A1" s="868" t="s">
        <v>1045</v>
      </c>
      <c r="B1" s="868"/>
    </row>
    <row r="2" spans="1:2" ht="20.25">
      <c r="A2" s="537" t="s">
        <v>1045</v>
      </c>
      <c r="B2" s="528"/>
    </row>
    <row r="3" spans="1:2">
      <c r="A3" s="528"/>
      <c r="B3" s="528"/>
    </row>
    <row r="4" spans="1:2">
      <c r="A4" s="527" t="s">
        <v>1044</v>
      </c>
      <c r="B4" s="528" t="s">
        <v>1043</v>
      </c>
    </row>
    <row r="5" spans="1:2">
      <c r="A5" s="530"/>
      <c r="B5" s="536"/>
    </row>
    <row r="6" spans="1:2">
      <c r="A6" s="530" t="s">
        <v>101</v>
      </c>
      <c r="B6" s="536" t="s">
        <v>1042</v>
      </c>
    </row>
    <row r="7" spans="1:2">
      <c r="A7" s="530"/>
      <c r="B7" s="536"/>
    </row>
    <row r="8" spans="1:2" ht="38.25">
      <c r="A8" s="530" t="s">
        <v>105</v>
      </c>
      <c r="B8" s="529" t="s">
        <v>1041</v>
      </c>
    </row>
    <row r="9" spans="1:2">
      <c r="A9" s="530"/>
      <c r="B9" s="536"/>
    </row>
    <row r="10" spans="1:2">
      <c r="A10" s="530" t="s">
        <v>64</v>
      </c>
      <c r="B10" s="529" t="s">
        <v>1040</v>
      </c>
    </row>
    <row r="11" spans="1:2">
      <c r="A11" s="530"/>
      <c r="B11" s="529"/>
    </row>
    <row r="12" spans="1:2" ht="25.5">
      <c r="A12" s="530" t="s">
        <v>1039</v>
      </c>
      <c r="B12" s="529" t="s">
        <v>1038</v>
      </c>
    </row>
    <row r="13" spans="1:2">
      <c r="A13" s="530"/>
      <c r="B13" s="529"/>
    </row>
    <row r="14" spans="1:2" ht="38.25">
      <c r="A14" s="530" t="s">
        <v>1037</v>
      </c>
      <c r="B14" s="529" t="s">
        <v>1036</v>
      </c>
    </row>
    <row r="15" spans="1:2">
      <c r="A15" s="530"/>
      <c r="B15" s="529"/>
    </row>
    <row r="16" spans="1:2" ht="38.25">
      <c r="A16" s="535" t="s">
        <v>1035</v>
      </c>
      <c r="B16" s="529" t="s">
        <v>1034</v>
      </c>
    </row>
    <row r="17" spans="1:2">
      <c r="A17" s="530"/>
      <c r="B17" s="529"/>
    </row>
    <row r="18" spans="1:2">
      <c r="A18" s="530" t="s">
        <v>116</v>
      </c>
      <c r="B18" s="529" t="s">
        <v>1033</v>
      </c>
    </row>
    <row r="19" spans="1:2">
      <c r="A19" s="530"/>
      <c r="B19" s="529"/>
    </row>
    <row r="20" spans="1:2">
      <c r="A20" s="530" t="s">
        <v>1032</v>
      </c>
      <c r="B20" s="529" t="s">
        <v>1031</v>
      </c>
    </row>
    <row r="21" spans="1:2">
      <c r="A21" s="530"/>
      <c r="B21" s="529"/>
    </row>
    <row r="22" spans="1:2" ht="25.5">
      <c r="A22" s="530" t="s">
        <v>1030</v>
      </c>
      <c r="B22" s="529" t="s">
        <v>1029</v>
      </c>
    </row>
    <row r="23" spans="1:2">
      <c r="A23" s="530"/>
      <c r="B23" s="529"/>
    </row>
    <row r="24" spans="1:2" ht="25.5">
      <c r="A24" s="534" t="s">
        <v>1028</v>
      </c>
      <c r="B24" s="533" t="s">
        <v>1027</v>
      </c>
    </row>
    <row r="25" spans="1:2">
      <c r="A25" s="530"/>
      <c r="B25" s="529"/>
    </row>
    <row r="26" spans="1:2" ht="25.5">
      <c r="A26" s="530" t="s">
        <v>1026</v>
      </c>
      <c r="B26" s="529" t="s">
        <v>1025</v>
      </c>
    </row>
    <row r="27" spans="1:2">
      <c r="A27" s="530"/>
      <c r="B27" s="529"/>
    </row>
    <row r="28" spans="1:2" ht="25.5">
      <c r="A28" s="530" t="s">
        <v>1024</v>
      </c>
      <c r="B28" s="529" t="s">
        <v>1023</v>
      </c>
    </row>
    <row r="29" spans="1:2">
      <c r="A29" s="535"/>
      <c r="B29" s="529"/>
    </row>
    <row r="30" spans="1:2" ht="38.25">
      <c r="A30" s="534" t="s">
        <v>1022</v>
      </c>
      <c r="B30" s="533" t="s">
        <v>1021</v>
      </c>
    </row>
    <row r="31" spans="1:2">
      <c r="A31" s="530"/>
      <c r="B31" s="529"/>
    </row>
    <row r="32" spans="1:2">
      <c r="A32" s="530" t="s">
        <v>5</v>
      </c>
      <c r="B32" s="529" t="s">
        <v>1020</v>
      </c>
    </row>
    <row r="33" spans="1:2">
      <c r="A33" s="530"/>
      <c r="B33" s="529"/>
    </row>
    <row r="34" spans="1:2">
      <c r="A34" s="530" t="s">
        <v>828</v>
      </c>
      <c r="B34" s="529" t="s">
        <v>1019</v>
      </c>
    </row>
    <row r="35" spans="1:2">
      <c r="A35" s="530"/>
      <c r="B35" s="529"/>
    </row>
    <row r="36" spans="1:2">
      <c r="A36" s="530" t="s">
        <v>262</v>
      </c>
      <c r="B36" s="529" t="s">
        <v>1018</v>
      </c>
    </row>
    <row r="37" spans="1:2">
      <c r="A37" s="530"/>
      <c r="B37" s="529"/>
    </row>
    <row r="38" spans="1:2">
      <c r="A38" s="530" t="s">
        <v>1017</v>
      </c>
      <c r="B38" s="529" t="s">
        <v>1016</v>
      </c>
    </row>
    <row r="39" spans="1:2">
      <c r="A39" s="530"/>
      <c r="B39" s="532"/>
    </row>
    <row r="40" spans="1:2" ht="25.5">
      <c r="A40" s="530" t="s">
        <v>1015</v>
      </c>
      <c r="B40" s="529" t="s">
        <v>1014</v>
      </c>
    </row>
    <row r="41" spans="1:2">
      <c r="A41" s="530"/>
      <c r="B41" s="529"/>
    </row>
    <row r="42" spans="1:2" ht="51">
      <c r="A42" s="530" t="s">
        <v>1013</v>
      </c>
      <c r="B42" s="529" t="s">
        <v>1012</v>
      </c>
    </row>
    <row r="43" spans="1:2">
      <c r="A43" s="530"/>
      <c r="B43" s="529"/>
    </row>
    <row r="44" spans="1:2">
      <c r="A44" s="530" t="s">
        <v>1011</v>
      </c>
      <c r="B44" s="529" t="s">
        <v>1010</v>
      </c>
    </row>
    <row r="45" spans="1:2">
      <c r="A45" s="530"/>
      <c r="B45" s="529"/>
    </row>
    <row r="46" spans="1:2" ht="38.25">
      <c r="A46" s="530" t="s">
        <v>1009</v>
      </c>
      <c r="B46" s="529" t="s">
        <v>1008</v>
      </c>
    </row>
    <row r="47" spans="1:2">
      <c r="A47" s="531"/>
      <c r="B47" s="531"/>
    </row>
    <row r="48" spans="1:2" ht="38.25">
      <c r="A48" s="530" t="s">
        <v>1007</v>
      </c>
      <c r="B48" s="529" t="s">
        <v>1006</v>
      </c>
    </row>
    <row r="50" spans="1:2">
      <c r="A50" s="527"/>
      <c r="B50" s="528"/>
    </row>
    <row r="52" spans="1:2">
      <c r="A52" s="527"/>
      <c r="B52" s="526"/>
    </row>
    <row r="53" spans="1:2">
      <c r="A53" s="527"/>
      <c r="B53" s="526"/>
    </row>
    <row r="54" spans="1:2">
      <c r="A54" s="527"/>
      <c r="B54" s="526"/>
    </row>
  </sheetData>
  <sheetProtection algorithmName="SHA-512" hashValue="I5pc4vV1uRhdlDTsOE/YvYAU50wd0l/8iR7kshovGAeUEZVxi/JVXTS1rXU3MJ2iu9V1gJz+VbHcHagvzr6/8Q==" saltValue="Qg9z1P9sQamq2RxElJW1oA==" spinCount="100000" sheet="1" objects="1" scenarios="1"/>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90624-A22B-4D2B-BF52-7E636E4A1AD8}">
  <sheetPr codeName="Sheet8"/>
  <dimension ref="A1:X42"/>
  <sheetViews>
    <sheetView topLeftCell="A24" workbookViewId="0">
      <selection activeCell="A24" sqref="A24:C26"/>
    </sheetView>
  </sheetViews>
  <sheetFormatPr defaultRowHeight="15"/>
  <cols>
    <col min="1" max="1" width="22.7109375" bestFit="1" customWidth="1"/>
    <col min="2" max="2" width="12.7109375" customWidth="1"/>
    <col min="3" max="3" width="66.42578125" customWidth="1"/>
    <col min="4" max="24" width="9.140625" style="388"/>
  </cols>
  <sheetData>
    <row r="1" spans="1:3" ht="36">
      <c r="A1" s="869" t="s">
        <v>836</v>
      </c>
      <c r="B1" s="869"/>
      <c r="C1" s="869"/>
    </row>
    <row r="2" spans="1:3" s="388" customFormat="1">
      <c r="A2" s="392" t="s">
        <v>837</v>
      </c>
      <c r="B2" s="392" t="s">
        <v>838</v>
      </c>
      <c r="C2" s="392" t="s">
        <v>839</v>
      </c>
    </row>
    <row r="3" spans="1:3" s="388" customFormat="1" ht="30">
      <c r="A3" s="389" t="s">
        <v>840</v>
      </c>
      <c r="B3" s="390">
        <v>44445</v>
      </c>
      <c r="C3" s="391" t="s">
        <v>842</v>
      </c>
    </row>
    <row r="4" spans="1:3" s="388" customFormat="1">
      <c r="A4" s="389" t="s">
        <v>841</v>
      </c>
      <c r="B4" s="390">
        <v>44353</v>
      </c>
      <c r="C4" s="389" t="s">
        <v>843</v>
      </c>
    </row>
    <row r="5" spans="1:3" s="388" customFormat="1">
      <c r="A5" s="389" t="s">
        <v>840</v>
      </c>
      <c r="B5" s="390">
        <v>44480</v>
      </c>
      <c r="C5" s="389" t="s">
        <v>844</v>
      </c>
    </row>
    <row r="6" spans="1:3" s="388" customFormat="1" ht="85.5" customHeight="1">
      <c r="A6" s="389" t="s">
        <v>840</v>
      </c>
      <c r="B6" s="390">
        <v>44718</v>
      </c>
      <c r="C6" s="391" t="s">
        <v>940</v>
      </c>
    </row>
    <row r="7" spans="1:3" s="388" customFormat="1">
      <c r="A7" s="389" t="s">
        <v>850</v>
      </c>
      <c r="B7" s="390">
        <v>44729</v>
      </c>
      <c r="C7" s="389" t="s">
        <v>847</v>
      </c>
    </row>
    <row r="8" spans="1:3" s="388" customFormat="1" ht="90">
      <c r="A8" s="389" t="s">
        <v>840</v>
      </c>
      <c r="B8" s="390">
        <v>44988</v>
      </c>
      <c r="C8" s="391" t="s">
        <v>941</v>
      </c>
    </row>
    <row r="9" spans="1:3" s="388" customFormat="1">
      <c r="A9" s="389" t="s">
        <v>937</v>
      </c>
      <c r="B9" s="390">
        <v>44988</v>
      </c>
      <c r="C9" s="389" t="s">
        <v>938</v>
      </c>
    </row>
    <row r="10" spans="1:3" s="388" customFormat="1" ht="30">
      <c r="A10" s="389" t="s">
        <v>850</v>
      </c>
      <c r="B10" s="390">
        <v>44988</v>
      </c>
      <c r="C10" s="391" t="s">
        <v>939</v>
      </c>
    </row>
    <row r="11" spans="1:3" s="388" customFormat="1" ht="30">
      <c r="A11" s="389" t="s">
        <v>840</v>
      </c>
      <c r="B11" s="390">
        <v>45008</v>
      </c>
      <c r="C11" s="391" t="s">
        <v>946</v>
      </c>
    </row>
    <row r="12" spans="1:3" s="388" customFormat="1" ht="32.25" customHeight="1">
      <c r="A12" s="389" t="s">
        <v>890</v>
      </c>
      <c r="B12" s="390">
        <v>45012</v>
      </c>
      <c r="C12" s="391" t="s">
        <v>945</v>
      </c>
    </row>
    <row r="13" spans="1:3" s="388" customFormat="1">
      <c r="A13" s="389" t="s">
        <v>937</v>
      </c>
      <c r="B13" s="390">
        <v>45012</v>
      </c>
      <c r="C13" s="389" t="s">
        <v>944</v>
      </c>
    </row>
    <row r="14" spans="1:3" s="388" customFormat="1" ht="45" customHeight="1">
      <c r="A14" s="472" t="s">
        <v>840</v>
      </c>
      <c r="B14" s="473">
        <v>45173</v>
      </c>
      <c r="C14" s="474" t="s">
        <v>958</v>
      </c>
    </row>
    <row r="15" spans="1:3" s="388" customFormat="1" ht="45" customHeight="1">
      <c r="A15" s="475" t="s">
        <v>937</v>
      </c>
      <c r="B15" s="473">
        <v>45173</v>
      </c>
      <c r="C15" s="475" t="s">
        <v>959</v>
      </c>
    </row>
    <row r="16" spans="1:3" s="388" customFormat="1" ht="45" customHeight="1">
      <c r="A16" s="475" t="s">
        <v>890</v>
      </c>
      <c r="B16" s="473">
        <v>45173</v>
      </c>
      <c r="C16" s="474" t="s">
        <v>960</v>
      </c>
    </row>
    <row r="17" spans="1:3" s="388" customFormat="1" ht="45" customHeight="1">
      <c r="A17" s="475" t="s">
        <v>961</v>
      </c>
      <c r="B17" s="473">
        <v>45173</v>
      </c>
      <c r="C17" s="475" t="s">
        <v>962</v>
      </c>
    </row>
    <row r="18" spans="1:3" s="388" customFormat="1">
      <c r="A18" s="475" t="s">
        <v>963</v>
      </c>
      <c r="B18" s="473">
        <v>45173</v>
      </c>
      <c r="C18" s="475" t="s">
        <v>964</v>
      </c>
    </row>
    <row r="19" spans="1:3" s="388" customFormat="1" ht="60">
      <c r="A19" s="472" t="s">
        <v>840</v>
      </c>
      <c r="B19" s="473">
        <v>45433</v>
      </c>
      <c r="C19" s="474" t="s">
        <v>969</v>
      </c>
    </row>
    <row r="20" spans="1:3" s="388" customFormat="1">
      <c r="A20" s="475" t="s">
        <v>890</v>
      </c>
      <c r="B20" s="473">
        <v>45433</v>
      </c>
      <c r="C20" s="474" t="s">
        <v>970</v>
      </c>
    </row>
    <row r="21" spans="1:3" s="388" customFormat="1" ht="60">
      <c r="A21" s="472" t="s">
        <v>840</v>
      </c>
      <c r="B21" s="473">
        <v>45433</v>
      </c>
      <c r="C21" s="474" t="s">
        <v>973</v>
      </c>
    </row>
    <row r="22" spans="1:3" s="388" customFormat="1" ht="114" customHeight="1">
      <c r="A22" s="475" t="s">
        <v>890</v>
      </c>
      <c r="B22" s="473">
        <v>45468</v>
      </c>
      <c r="C22" s="482" t="s">
        <v>974</v>
      </c>
    </row>
    <row r="23" spans="1:3" s="388" customFormat="1" ht="21" customHeight="1">
      <c r="A23" s="472" t="s">
        <v>840</v>
      </c>
      <c r="B23" s="473">
        <v>45468</v>
      </c>
      <c r="C23" s="474" t="s">
        <v>975</v>
      </c>
    </row>
    <row r="24" spans="1:3" s="388" customFormat="1" ht="87.95" customHeight="1">
      <c r="A24" s="475" t="s">
        <v>840</v>
      </c>
      <c r="B24" s="473">
        <v>45568</v>
      </c>
      <c r="C24" s="482" t="s">
        <v>1053</v>
      </c>
    </row>
    <row r="25" spans="1:3" s="388" customFormat="1" ht="96.95" customHeight="1">
      <c r="A25" s="475" t="s">
        <v>890</v>
      </c>
      <c r="B25" s="473">
        <v>45568</v>
      </c>
      <c r="C25" s="474" t="s">
        <v>1052</v>
      </c>
    </row>
    <row r="26" spans="1:3" s="388" customFormat="1" ht="96.95" customHeight="1">
      <c r="A26" s="475" t="s">
        <v>937</v>
      </c>
      <c r="B26" s="473">
        <v>45568</v>
      </c>
      <c r="C26" s="474" t="s">
        <v>1054</v>
      </c>
    </row>
    <row r="27" spans="1:3" s="388" customFormat="1"/>
    <row r="28" spans="1:3" s="388" customFormat="1"/>
    <row r="29" spans="1:3" s="388" customFormat="1"/>
    <row r="30" spans="1:3" s="388" customFormat="1"/>
    <row r="31" spans="1:3" s="388" customFormat="1"/>
    <row r="32" spans="1:3" s="388" customFormat="1"/>
    <row r="33" s="388" customFormat="1"/>
    <row r="34" s="388" customFormat="1"/>
    <row r="35" s="388" customFormat="1"/>
    <row r="36" s="388" customFormat="1"/>
    <row r="37" s="388" customFormat="1"/>
    <row r="38" s="388" customFormat="1"/>
    <row r="39" s="388" customFormat="1"/>
    <row r="40" s="388" customFormat="1"/>
    <row r="41" s="388" customFormat="1"/>
    <row r="42" s="388" customFormat="1"/>
  </sheetData>
  <sheetProtection algorithmName="SHA-512" hashValue="O/L2mN58qkiBHjd0oZQx9P9In83R+TPZuNz/eCKWv25krtXlX2M53EPaME52nSIA+6z+gOio5VR+GU+QpSloIQ==" saltValue="vtODwrlUD2RFNMBZRBs4Aw==" spinCount="100000" sheet="1" objects="1" scenarios="1"/>
  <mergeCells count="1">
    <mergeCell ref="A1:C1"/>
  </mergeCells>
  <phoneticPr fontId="95"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626C-3FC9-4E9B-B71E-B974ADC99EB4}">
  <sheetPr codeName="Sheet212"/>
  <dimension ref="A1:BC130"/>
  <sheetViews>
    <sheetView zoomScale="85" zoomScaleNormal="85" workbookViewId="0">
      <selection activeCell="G10" sqref="G10"/>
    </sheetView>
  </sheetViews>
  <sheetFormatPr defaultColWidth="11.42578125" defaultRowHeight="12.75"/>
  <cols>
    <col min="1" max="1" width="12.28515625" style="38" customWidth="1"/>
    <col min="2" max="2" width="15.28515625" style="38" customWidth="1"/>
    <col min="3" max="3" width="14.28515625" style="38" customWidth="1"/>
    <col min="4" max="4" width="9" style="38" customWidth="1"/>
    <col min="5" max="5" width="3.42578125" style="38" customWidth="1"/>
    <col min="6" max="7" width="11.28515625" style="38" bestFit="1" customWidth="1"/>
    <col min="8" max="8" width="18" style="38" customWidth="1"/>
    <col min="9" max="9" width="3.28515625" style="38" customWidth="1"/>
    <col min="10" max="10" width="11.28515625" style="38" bestFit="1" customWidth="1"/>
    <col min="11" max="11" width="3.42578125" style="38" customWidth="1"/>
    <col min="12" max="12" width="11.42578125" style="39"/>
    <col min="13" max="14" width="11.42578125" style="38"/>
    <col min="15" max="15" width="1.5703125" style="38" customWidth="1"/>
    <col min="16" max="16" width="11.42578125" style="38"/>
    <col min="17" max="17" width="13.7109375" style="38" customWidth="1"/>
    <col min="18" max="18" width="12.5703125" style="38" bestFit="1" customWidth="1"/>
    <col min="19" max="29" width="11.42578125" style="38"/>
    <col min="30" max="30" width="1.5703125" style="38" customWidth="1"/>
    <col min="31" max="31" width="15" style="38" customWidth="1"/>
    <col min="32" max="32" width="13.140625" style="38" customWidth="1"/>
    <col min="33" max="33" width="12" style="38" customWidth="1"/>
    <col min="34" max="34" width="9" style="38" customWidth="1"/>
    <col min="35" max="35" width="3.42578125" style="38" customWidth="1"/>
    <col min="36" max="36" width="13.140625" style="38" customWidth="1"/>
    <col min="37" max="37" width="11.28515625" style="38" bestFit="1" customWidth="1"/>
    <col min="38" max="38" width="10.42578125" style="38" customWidth="1"/>
    <col min="39" max="39" width="3.28515625" style="38" customWidth="1"/>
    <col min="40" max="40" width="11.28515625" style="38" bestFit="1" customWidth="1"/>
    <col min="41" max="41" width="3.42578125" style="38" customWidth="1"/>
    <col min="42" max="42" width="11.42578125" style="39"/>
    <col min="43" max="44" width="11.42578125" style="38"/>
    <col min="45" max="45" width="5.7109375" style="38" customWidth="1"/>
    <col min="46" max="46" width="12.42578125" style="38" customWidth="1"/>
    <col min="47" max="47" width="15.28515625" style="38" customWidth="1"/>
    <col min="48" max="48" width="13" style="38" customWidth="1"/>
    <col min="49" max="16384" width="11.42578125" style="38"/>
  </cols>
  <sheetData>
    <row r="1" spans="1:55">
      <c r="A1" s="89" t="s">
        <v>97</v>
      </c>
      <c r="B1" s="88"/>
      <c r="C1" s="88"/>
      <c r="D1" s="88"/>
      <c r="E1" s="88"/>
      <c r="F1" s="88"/>
      <c r="G1" s="88"/>
      <c r="H1" s="87"/>
      <c r="I1" s="87"/>
      <c r="J1" s="86"/>
      <c r="P1" s="89" t="s">
        <v>96</v>
      </c>
      <c r="Q1" s="88"/>
      <c r="R1" s="88"/>
      <c r="S1" s="88"/>
      <c r="T1" s="88"/>
      <c r="U1" s="88"/>
      <c r="V1" s="88"/>
      <c r="W1" s="87"/>
      <c r="X1" s="87"/>
      <c r="Y1" s="86"/>
      <c r="AA1" s="39"/>
      <c r="AE1" s="89" t="s">
        <v>95</v>
      </c>
      <c r="AF1" s="88"/>
      <c r="AG1" s="88"/>
      <c r="AH1" s="88"/>
      <c r="AI1" s="88"/>
      <c r="AJ1" s="88"/>
      <c r="AK1" s="88"/>
      <c r="AL1" s="87"/>
      <c r="AM1" s="87"/>
      <c r="AN1" s="86"/>
      <c r="AT1" s="89" t="s">
        <v>94</v>
      </c>
      <c r="AU1" s="88"/>
      <c r="AV1" s="88"/>
      <c r="AW1" s="88"/>
      <c r="AX1" s="88"/>
      <c r="AY1" s="88"/>
      <c r="AZ1" s="88"/>
      <c r="BA1" s="87"/>
      <c r="BB1" s="87"/>
      <c r="BC1" s="86"/>
    </row>
    <row r="2" spans="1:55" ht="13.5" thickBot="1">
      <c r="A2" s="85" t="s">
        <v>93</v>
      </c>
      <c r="B2" s="84"/>
      <c r="C2" s="84"/>
      <c r="D2" s="84"/>
      <c r="E2" s="84"/>
      <c r="F2" s="84"/>
      <c r="G2" s="84"/>
      <c r="H2" s="83"/>
      <c r="I2" s="83"/>
      <c r="J2" s="82"/>
      <c r="P2" s="85" t="s">
        <v>93</v>
      </c>
      <c r="Q2" s="84"/>
      <c r="R2" s="84"/>
      <c r="S2" s="84"/>
      <c r="T2" s="84"/>
      <c r="U2" s="84"/>
      <c r="V2" s="84"/>
      <c r="W2" s="83"/>
      <c r="X2" s="83"/>
      <c r="Y2" s="82"/>
      <c r="AA2" s="39"/>
      <c r="AE2" s="85" t="s">
        <v>93</v>
      </c>
      <c r="AF2" s="84"/>
      <c r="AG2" s="84"/>
      <c r="AH2" s="84"/>
      <c r="AI2" s="84"/>
      <c r="AJ2" s="84"/>
      <c r="AK2" s="84"/>
      <c r="AL2" s="83"/>
      <c r="AM2" s="83"/>
      <c r="AN2" s="82"/>
      <c r="AT2" s="85" t="s">
        <v>93</v>
      </c>
      <c r="AU2" s="84"/>
      <c r="AV2" s="84"/>
      <c r="AW2" s="84"/>
      <c r="AX2" s="84"/>
      <c r="AY2" s="84"/>
      <c r="AZ2" s="84"/>
      <c r="BA2" s="83"/>
      <c r="BB2" s="83"/>
      <c r="BC2" s="82"/>
    </row>
    <row r="3" spans="1:55">
      <c r="A3" s="90" t="s">
        <v>92</v>
      </c>
      <c r="B3" s="90"/>
      <c r="C3" s="90"/>
      <c r="D3" s="90"/>
      <c r="E3" s="90"/>
      <c r="F3" s="90"/>
      <c r="G3" s="90"/>
      <c r="H3" s="91"/>
      <c r="I3" s="91"/>
      <c r="J3" s="91"/>
      <c r="P3" s="90" t="s">
        <v>92</v>
      </c>
      <c r="Q3" s="90"/>
      <c r="R3" s="90"/>
      <c r="S3" s="90"/>
      <c r="T3" s="90"/>
      <c r="U3" s="90"/>
      <c r="V3" s="90"/>
      <c r="W3" s="91"/>
      <c r="X3" s="91"/>
      <c r="Y3" s="91"/>
      <c r="AA3" s="39"/>
      <c r="AE3" s="90" t="s">
        <v>92</v>
      </c>
      <c r="AF3" s="90"/>
      <c r="AG3" s="90"/>
      <c r="AH3" s="90"/>
      <c r="AI3" s="90"/>
      <c r="AJ3" s="90"/>
      <c r="AK3" s="90"/>
      <c r="AL3" s="91"/>
      <c r="AM3" s="91"/>
      <c r="AN3" s="91"/>
      <c r="AT3" s="90" t="s">
        <v>92</v>
      </c>
      <c r="AU3" s="90"/>
      <c r="AV3" s="90"/>
      <c r="AW3" s="90"/>
      <c r="AX3" s="90"/>
      <c r="AY3" s="90"/>
      <c r="AZ3" s="90"/>
      <c r="BA3" s="91"/>
      <c r="BB3" s="91"/>
      <c r="BC3" s="91"/>
    </row>
    <row r="4" spans="1:55" ht="13.5" thickBot="1">
      <c r="A4" s="57" t="s">
        <v>64</v>
      </c>
      <c r="B4" s="57"/>
      <c r="C4" s="46"/>
      <c r="D4" s="57" t="s">
        <v>63</v>
      </c>
      <c r="E4" s="46"/>
      <c r="F4" s="56" t="s">
        <v>62</v>
      </c>
      <c r="G4" s="56"/>
      <c r="H4" s="56" t="s">
        <v>61</v>
      </c>
      <c r="I4" s="56"/>
      <c r="J4" s="56" t="s">
        <v>60</v>
      </c>
      <c r="L4" s="77"/>
      <c r="M4" s="72"/>
      <c r="N4" s="72"/>
      <c r="P4" s="57" t="s">
        <v>64</v>
      </c>
      <c r="Q4" s="57"/>
      <c r="R4" s="46"/>
      <c r="S4" s="57" t="s">
        <v>63</v>
      </c>
      <c r="T4" s="46"/>
      <c r="U4" s="56" t="s">
        <v>62</v>
      </c>
      <c r="V4" s="56"/>
      <c r="W4" s="56" t="s">
        <v>61</v>
      </c>
      <c r="X4" s="56"/>
      <c r="Y4" s="56" t="s">
        <v>60</v>
      </c>
      <c r="AA4" s="77" t="s">
        <v>91</v>
      </c>
      <c r="AB4" s="72"/>
      <c r="AC4" s="72"/>
      <c r="AE4" s="57" t="s">
        <v>64</v>
      </c>
      <c r="AF4" s="57"/>
      <c r="AG4" s="46"/>
      <c r="AH4" s="57" t="s">
        <v>63</v>
      </c>
      <c r="AI4" s="46"/>
      <c r="AJ4" s="56" t="s">
        <v>62</v>
      </c>
      <c r="AK4" s="56"/>
      <c r="AL4" s="56" t="s">
        <v>61</v>
      </c>
      <c r="AM4" s="56"/>
      <c r="AN4" s="56" t="s">
        <v>60</v>
      </c>
      <c r="AP4" s="77" t="s">
        <v>91</v>
      </c>
      <c r="AQ4" s="72"/>
      <c r="AR4" s="72"/>
      <c r="AT4" s="57" t="s">
        <v>64</v>
      </c>
      <c r="AU4" s="57"/>
      <c r="AV4" s="46"/>
      <c r="AW4" s="57" t="s">
        <v>63</v>
      </c>
      <c r="AX4" s="46"/>
      <c r="AY4" s="56" t="s">
        <v>62</v>
      </c>
      <c r="AZ4" s="56"/>
      <c r="BA4" s="56" t="s">
        <v>61</v>
      </c>
      <c r="BB4" s="56"/>
      <c r="BC4" s="56" t="s">
        <v>60</v>
      </c>
    </row>
    <row r="5" spans="1:55" ht="13.5" thickBot="1">
      <c r="A5" s="81">
        <v>1</v>
      </c>
      <c r="B5" s="81">
        <v>18200</v>
      </c>
      <c r="C5" s="54">
        <f>B5-A5+1</f>
        <v>18200</v>
      </c>
      <c r="D5" s="53">
        <v>0</v>
      </c>
      <c r="E5" s="44"/>
      <c r="F5" s="268">
        <f>IF('SME Servicing Calculator'!O33&lt;B5,'SME Servicing Calculator'!O33,C5)</f>
        <v>0</v>
      </c>
      <c r="G5" s="268">
        <f>F5</f>
        <v>0</v>
      </c>
      <c r="H5" s="268">
        <f>F5*D5</f>
        <v>0</v>
      </c>
      <c r="I5" s="269"/>
      <c r="J5" s="268">
        <f>F5-H5</f>
        <v>0</v>
      </c>
      <c r="L5" s="73"/>
      <c r="M5" s="72"/>
      <c r="N5" s="72"/>
      <c r="P5" s="43">
        <f t="shared" ref="P5:S9" si="0">A5</f>
        <v>1</v>
      </c>
      <c r="Q5" s="43">
        <f t="shared" si="0"/>
        <v>18200</v>
      </c>
      <c r="R5" s="43">
        <f t="shared" si="0"/>
        <v>18200</v>
      </c>
      <c r="S5" s="78">
        <f t="shared" si="0"/>
        <v>0</v>
      </c>
      <c r="T5" s="44"/>
      <c r="U5" s="50">
        <f>IF('SMSF Servicing Calculator'!N67&lt;Q5,'SMSF Servicing Calculator'!N67,R5)</f>
        <v>0</v>
      </c>
      <c r="V5" s="50">
        <f>U5</f>
        <v>0</v>
      </c>
      <c r="W5" s="50">
        <f>U5*S5</f>
        <v>0</v>
      </c>
      <c r="X5" s="51"/>
      <c r="Y5" s="50">
        <f>U5-W5</f>
        <v>0</v>
      </c>
      <c r="AA5" s="73"/>
      <c r="AB5" s="72"/>
      <c r="AC5" s="72"/>
      <c r="AE5" s="81">
        <f t="shared" ref="AE5:AH9" si="1">P5</f>
        <v>1</v>
      </c>
      <c r="AF5" s="81">
        <f t="shared" si="1"/>
        <v>18200</v>
      </c>
      <c r="AG5" s="81">
        <f t="shared" si="1"/>
        <v>18200</v>
      </c>
      <c r="AH5" s="187">
        <f t="shared" si="1"/>
        <v>0</v>
      </c>
      <c r="AI5" s="44"/>
      <c r="AJ5" s="50" t="e">
        <f>IF(#REF!&lt;AF5,#REF!,AG5)</f>
        <v>#REF!</v>
      </c>
      <c r="AK5" s="50" t="e">
        <f>AJ5</f>
        <v>#REF!</v>
      </c>
      <c r="AL5" s="50" t="e">
        <f>AJ5*AH5</f>
        <v>#REF!</v>
      </c>
      <c r="AM5" s="51"/>
      <c r="AN5" s="50" t="e">
        <f>AJ5-AL5</f>
        <v>#REF!</v>
      </c>
      <c r="AP5" s="73"/>
      <c r="AQ5" s="72"/>
      <c r="AR5" s="72"/>
      <c r="AT5" s="43">
        <f t="shared" ref="AT5:AW9" si="2">A5</f>
        <v>1</v>
      </c>
      <c r="AU5" s="43">
        <f t="shared" si="2"/>
        <v>18200</v>
      </c>
      <c r="AV5" s="43">
        <f t="shared" si="2"/>
        <v>18200</v>
      </c>
      <c r="AW5" s="78">
        <f t="shared" si="2"/>
        <v>0</v>
      </c>
      <c r="AX5" s="44"/>
      <c r="AY5" s="50">
        <v>0</v>
      </c>
      <c r="AZ5" s="50">
        <f>AY5</f>
        <v>0</v>
      </c>
      <c r="BA5" s="50">
        <f>AY5*AW5</f>
        <v>0</v>
      </c>
      <c r="BB5" s="51"/>
      <c r="BC5" s="50">
        <f>AY5-BA5</f>
        <v>0</v>
      </c>
    </row>
    <row r="6" spans="1:55" ht="13.5" thickBot="1">
      <c r="A6" s="81">
        <v>18201</v>
      </c>
      <c r="B6" s="81">
        <v>45000</v>
      </c>
      <c r="C6" s="54">
        <f>B6-A6+1</f>
        <v>26800</v>
      </c>
      <c r="D6" s="53">
        <v>0.16</v>
      </c>
      <c r="E6" s="44"/>
      <c r="F6" s="268">
        <f>IF(G5='SME Servicing Calculator'!O33,0,IF(('SME Servicing Calculator'!O33-G5)&gt;C6,C6,('SME Servicing Calculator'!O33-G5)))</f>
        <v>0</v>
      </c>
      <c r="G6" s="268">
        <f>G5+F6</f>
        <v>0</v>
      </c>
      <c r="H6" s="268">
        <f>F6*D6</f>
        <v>0</v>
      </c>
      <c r="I6" s="269"/>
      <c r="J6" s="268">
        <f>F6-H6</f>
        <v>0</v>
      </c>
      <c r="L6" s="73"/>
      <c r="M6" s="72"/>
      <c r="N6" s="72"/>
      <c r="P6" s="43">
        <f t="shared" si="0"/>
        <v>18201</v>
      </c>
      <c r="Q6" s="43">
        <f t="shared" si="0"/>
        <v>45000</v>
      </c>
      <c r="R6" s="43">
        <f>C6</f>
        <v>26800</v>
      </c>
      <c r="S6" s="78">
        <f t="shared" si="0"/>
        <v>0.16</v>
      </c>
      <c r="T6" s="44"/>
      <c r="U6" s="50">
        <f>IF(V5='SMSF Servicing Calculator'!$N$67,0,IF(('SMSF Servicing Calculator'!$N$67-V5)&gt;R6,R6,('SMSF Servicing Calculator'!$N$67-V5)))</f>
        <v>0</v>
      </c>
      <c r="V6" s="50">
        <f>V5+U6</f>
        <v>0</v>
      </c>
      <c r="W6" s="50">
        <f>U6*S6</f>
        <v>0</v>
      </c>
      <c r="X6" s="51"/>
      <c r="Y6" s="50">
        <f>U6-W6</f>
        <v>0</v>
      </c>
      <c r="AA6" s="73"/>
      <c r="AB6" s="72"/>
      <c r="AC6" s="72"/>
      <c r="AE6" s="81">
        <f t="shared" si="1"/>
        <v>18201</v>
      </c>
      <c r="AF6" s="81">
        <f t="shared" si="1"/>
        <v>45000</v>
      </c>
      <c r="AG6" s="81">
        <f t="shared" si="1"/>
        <v>26800</v>
      </c>
      <c r="AH6" s="187">
        <f t="shared" si="1"/>
        <v>0.16</v>
      </c>
      <c r="AI6" s="44"/>
      <c r="AJ6" s="50" t="e">
        <f>IF(AK5=#REF!,0,IF((#REF!-0)&gt;AG6,AG6,(#REF!-0)))</f>
        <v>#REF!</v>
      </c>
      <c r="AK6" s="50" t="e">
        <f>AK5+AJ6</f>
        <v>#REF!</v>
      </c>
      <c r="AL6" s="50" t="e">
        <f>AJ6*AH6</f>
        <v>#REF!</v>
      </c>
      <c r="AM6" s="51"/>
      <c r="AN6" s="50" t="e">
        <f>AJ6-AL6</f>
        <v>#REF!</v>
      </c>
      <c r="AP6" s="73"/>
      <c r="AQ6" s="72"/>
      <c r="AR6" s="72"/>
      <c r="AT6" s="43">
        <f t="shared" si="2"/>
        <v>18201</v>
      </c>
      <c r="AU6" s="43">
        <f t="shared" si="2"/>
        <v>45000</v>
      </c>
      <c r="AV6" s="43">
        <f t="shared" si="2"/>
        <v>26800</v>
      </c>
      <c r="AW6" s="78">
        <f t="shared" si="2"/>
        <v>0.16</v>
      </c>
      <c r="AX6" s="44"/>
      <c r="AY6" s="50">
        <v>0</v>
      </c>
      <c r="AZ6" s="50">
        <f>AZ5+AY6</f>
        <v>0</v>
      </c>
      <c r="BA6" s="50">
        <f>AY6*AW6</f>
        <v>0</v>
      </c>
      <c r="BB6" s="51"/>
      <c r="BC6" s="50">
        <f>AY6-BA6</f>
        <v>0</v>
      </c>
    </row>
    <row r="7" spans="1:55" ht="13.5" thickBot="1">
      <c r="A7" s="81">
        <v>45001</v>
      </c>
      <c r="B7" s="81">
        <v>135000</v>
      </c>
      <c r="C7" s="54">
        <f>B7-A7+1</f>
        <v>90000</v>
      </c>
      <c r="D7" s="53">
        <v>0.3</v>
      </c>
      <c r="E7" s="44"/>
      <c r="F7" s="268">
        <f>IF(G6='SME Servicing Calculator'!O33,0,IF(('SME Servicing Calculator'!O33-G6)&gt;C7,C7,('SME Servicing Calculator'!O33-G6)))</f>
        <v>0</v>
      </c>
      <c r="G7" s="268">
        <f>G6+F7</f>
        <v>0</v>
      </c>
      <c r="H7" s="268">
        <f>F7*D7</f>
        <v>0</v>
      </c>
      <c r="I7" s="269"/>
      <c r="J7" s="268">
        <f>F7-H7</f>
        <v>0</v>
      </c>
      <c r="L7" s="79"/>
      <c r="M7" s="72"/>
      <c r="N7" s="72"/>
      <c r="P7" s="43">
        <f t="shared" si="0"/>
        <v>45001</v>
      </c>
      <c r="Q7" s="43">
        <f t="shared" si="0"/>
        <v>135000</v>
      </c>
      <c r="R7" s="43">
        <f t="shared" si="0"/>
        <v>90000</v>
      </c>
      <c r="S7" s="78">
        <f t="shared" si="0"/>
        <v>0.3</v>
      </c>
      <c r="T7" s="44"/>
      <c r="U7" s="50">
        <f>IF(V6='SMSF Servicing Calculator'!$N$67,0,IF(('SMSF Servicing Calculator'!$N$67-V6)&gt;R7,R7,('SMSF Servicing Calculator'!$N$67-V6)))</f>
        <v>0</v>
      </c>
      <c r="V7" s="50">
        <f>V6+U7</f>
        <v>0</v>
      </c>
      <c r="W7" s="50">
        <f>U7*S7</f>
        <v>0</v>
      </c>
      <c r="X7" s="51"/>
      <c r="Y7" s="50">
        <f>U7-W7</f>
        <v>0</v>
      </c>
      <c r="AA7" s="79">
        <f>IF(U7&gt;13000,(U7-13000)*0.5%,0)</f>
        <v>0</v>
      </c>
      <c r="AB7" s="72"/>
      <c r="AC7" s="72"/>
      <c r="AE7" s="81">
        <f t="shared" si="1"/>
        <v>45001</v>
      </c>
      <c r="AF7" s="81">
        <f t="shared" si="1"/>
        <v>135000</v>
      </c>
      <c r="AG7" s="81">
        <f t="shared" si="1"/>
        <v>90000</v>
      </c>
      <c r="AH7" s="187">
        <f t="shared" si="1"/>
        <v>0.3</v>
      </c>
      <c r="AI7" s="44"/>
      <c r="AJ7" s="50" t="e">
        <f>IF(AK6=#REF!,0,IF((#REF!-AK6)&gt;AG7,AG7,(#REF!-AK6)))</f>
        <v>#REF!</v>
      </c>
      <c r="AK7" s="50" t="e">
        <f>AK6+AJ7</f>
        <v>#REF!</v>
      </c>
      <c r="AL7" s="50" t="e">
        <f>AJ7*AH7</f>
        <v>#REF!</v>
      </c>
      <c r="AM7" s="51"/>
      <c r="AN7" s="50" t="e">
        <f>AJ7-AL7</f>
        <v>#REF!</v>
      </c>
      <c r="AP7" s="79" t="e">
        <f>IF(AJ7&gt;13000,(AJ7-13000)*0.5%,0)</f>
        <v>#REF!</v>
      </c>
      <c r="AQ7" s="72"/>
      <c r="AR7" s="72"/>
      <c r="AT7" s="43">
        <f t="shared" si="2"/>
        <v>45001</v>
      </c>
      <c r="AU7" s="43">
        <f t="shared" si="2"/>
        <v>135000</v>
      </c>
      <c r="AV7" s="43">
        <f t="shared" si="2"/>
        <v>90000</v>
      </c>
      <c r="AW7" s="78">
        <f t="shared" si="2"/>
        <v>0.3</v>
      </c>
      <c r="AX7" s="44"/>
      <c r="AY7" s="50">
        <v>0</v>
      </c>
      <c r="AZ7" s="50">
        <f>AZ6+AY7</f>
        <v>0</v>
      </c>
      <c r="BA7" s="50">
        <f>AY7*AW7</f>
        <v>0</v>
      </c>
      <c r="BB7" s="51"/>
      <c r="BC7" s="50">
        <f>AY7-BA7</f>
        <v>0</v>
      </c>
    </row>
    <row r="8" spans="1:55" ht="13.5" thickBot="1">
      <c r="A8" s="81">
        <v>135001</v>
      </c>
      <c r="B8" s="81">
        <v>190001</v>
      </c>
      <c r="C8" s="54">
        <f>B8-A8+1</f>
        <v>55001</v>
      </c>
      <c r="D8" s="53">
        <v>0.37</v>
      </c>
      <c r="E8" s="44"/>
      <c r="F8" s="268">
        <f>IF(G7='SME Servicing Calculator'!O33,0,IF(('SME Servicing Calculator'!O33-G7)&gt;C8,C8,('SME Servicing Calculator'!O33-G7)))</f>
        <v>0</v>
      </c>
      <c r="G8" s="268">
        <f>G7+F8</f>
        <v>0</v>
      </c>
      <c r="H8" s="268">
        <f>F8*D8</f>
        <v>0</v>
      </c>
      <c r="I8" s="269"/>
      <c r="J8" s="268">
        <f>F8-H8</f>
        <v>0</v>
      </c>
      <c r="L8" s="73"/>
      <c r="M8" s="79"/>
      <c r="N8" s="80"/>
      <c r="P8" s="43">
        <f t="shared" si="0"/>
        <v>135001</v>
      </c>
      <c r="Q8" s="43">
        <f t="shared" si="0"/>
        <v>190001</v>
      </c>
      <c r="R8" s="43">
        <f t="shared" si="0"/>
        <v>55001</v>
      </c>
      <c r="S8" s="78">
        <f t="shared" si="0"/>
        <v>0.37</v>
      </c>
      <c r="T8" s="44"/>
      <c r="U8" s="50">
        <f>IF(V7='SMSF Servicing Calculator'!$N$67,0,IF(('SMSF Servicing Calculator'!$N$67-V7)&gt;R8,R8,('SMSF Servicing Calculator'!$N$67-V7)))</f>
        <v>0</v>
      </c>
      <c r="V8" s="50">
        <f>V7+U8</f>
        <v>0</v>
      </c>
      <c r="W8" s="50">
        <f>U8*S8</f>
        <v>0</v>
      </c>
      <c r="X8" s="51"/>
      <c r="Y8" s="50">
        <f>U8-W8</f>
        <v>0</v>
      </c>
      <c r="AA8" s="73">
        <f>SUM(AB8:AC8)</f>
        <v>0</v>
      </c>
      <c r="AB8" s="79">
        <f>IF(U8&lt;=20000,U8*0.5%,0)</f>
        <v>0</v>
      </c>
      <c r="AC8" s="80">
        <f>IF(U8&gt;20000,((U8-20000)*1%)+100,0)</f>
        <v>0</v>
      </c>
      <c r="AE8" s="81">
        <f t="shared" si="1"/>
        <v>135001</v>
      </c>
      <c r="AF8" s="81">
        <f t="shared" si="1"/>
        <v>190001</v>
      </c>
      <c r="AG8" s="81">
        <f t="shared" si="1"/>
        <v>55001</v>
      </c>
      <c r="AH8" s="187">
        <f t="shared" si="1"/>
        <v>0.37</v>
      </c>
      <c r="AI8" s="44"/>
      <c r="AJ8" s="50" t="e">
        <f>IF(AK7=#REF!,0,IF((#REF!-AK7)&gt;AG8,AG8,(#REF!-AK7)))</f>
        <v>#REF!</v>
      </c>
      <c r="AK8" s="50" t="e">
        <f>AK7+AJ8</f>
        <v>#REF!</v>
      </c>
      <c r="AL8" s="50" t="e">
        <f>AJ8*AH8</f>
        <v>#REF!</v>
      </c>
      <c r="AM8" s="51"/>
      <c r="AN8" s="50" t="e">
        <f>AJ8-AL8</f>
        <v>#REF!</v>
      </c>
      <c r="AP8" s="73" t="e">
        <f>SUM(AQ8:AR8)</f>
        <v>#REF!</v>
      </c>
      <c r="AQ8" s="79" t="e">
        <f>IF(AJ8&lt;=20000,AJ8*0.5%,0)</f>
        <v>#REF!</v>
      </c>
      <c r="AR8" s="80" t="e">
        <f>IF(AJ8&gt;20000,((AJ8-20000)*1%)+100,0)</f>
        <v>#REF!</v>
      </c>
      <c r="AT8" s="43">
        <f t="shared" si="2"/>
        <v>135001</v>
      </c>
      <c r="AU8" s="43">
        <f t="shared" si="2"/>
        <v>190001</v>
      </c>
      <c r="AV8" s="43">
        <f t="shared" si="2"/>
        <v>55001</v>
      </c>
      <c r="AW8" s="78">
        <f t="shared" si="2"/>
        <v>0.37</v>
      </c>
      <c r="AX8" s="44"/>
      <c r="AY8" s="50">
        <v>0</v>
      </c>
      <c r="AZ8" s="50">
        <f>AZ7+AY8</f>
        <v>0</v>
      </c>
      <c r="BA8" s="50">
        <f>AY8*AW8</f>
        <v>0</v>
      </c>
      <c r="BB8" s="51"/>
      <c r="BC8" s="50">
        <f>AY8-BA8</f>
        <v>0</v>
      </c>
    </row>
    <row r="9" spans="1:55" ht="13.5" thickBot="1">
      <c r="A9" s="81">
        <v>190001</v>
      </c>
      <c r="B9" s="81">
        <v>100000000</v>
      </c>
      <c r="C9" s="54">
        <f>B9-A9+1</f>
        <v>99810000</v>
      </c>
      <c r="D9" s="53">
        <v>0.45</v>
      </c>
      <c r="E9" s="44"/>
      <c r="F9" s="268">
        <f>IF('SME Servicing Calculator'!O33-G8&lt;=0,0,('SME Servicing Calculator'!O33-G8))</f>
        <v>0</v>
      </c>
      <c r="G9" s="268">
        <f>G8+F9</f>
        <v>0</v>
      </c>
      <c r="H9" s="268">
        <f>F9*D9</f>
        <v>0</v>
      </c>
      <c r="I9" s="269"/>
      <c r="J9" s="268">
        <f>F9-H9</f>
        <v>0</v>
      </c>
      <c r="L9" s="79"/>
      <c r="M9" s="72"/>
      <c r="N9" s="72"/>
      <c r="P9" s="43">
        <f t="shared" si="0"/>
        <v>190001</v>
      </c>
      <c r="Q9" s="43">
        <f t="shared" si="0"/>
        <v>100000000</v>
      </c>
      <c r="R9" s="43">
        <f t="shared" si="0"/>
        <v>99810000</v>
      </c>
      <c r="S9" s="78">
        <f t="shared" si="0"/>
        <v>0.45</v>
      </c>
      <c r="T9" s="44"/>
      <c r="U9" s="50">
        <f>IF(V8='SMSF Servicing Calculator'!$N$67,0,IF(('SMSF Servicing Calculator'!$N$67-V8)&gt;R9,R9,('SMSF Servicing Calculator'!$N$67-V8)))</f>
        <v>0</v>
      </c>
      <c r="V9" s="50">
        <f>V8+U9</f>
        <v>0</v>
      </c>
      <c r="W9" s="50">
        <f>U9*S9</f>
        <v>0</v>
      </c>
      <c r="X9" s="51"/>
      <c r="Y9" s="50">
        <f>U9-W9</f>
        <v>0</v>
      </c>
      <c r="AA9" s="79">
        <f>U9*1%</f>
        <v>0</v>
      </c>
      <c r="AB9" s="72"/>
      <c r="AC9" s="72"/>
      <c r="AE9" s="81">
        <f t="shared" si="1"/>
        <v>190001</v>
      </c>
      <c r="AF9" s="81">
        <f t="shared" si="1"/>
        <v>100000000</v>
      </c>
      <c r="AG9" s="81">
        <f t="shared" si="1"/>
        <v>99810000</v>
      </c>
      <c r="AH9" s="187">
        <f t="shared" si="1"/>
        <v>0.45</v>
      </c>
      <c r="AI9" s="44"/>
      <c r="AJ9" s="50" t="e">
        <f>IF(#REF!-AK8&lt;=0,0,(#REF!-AK8))</f>
        <v>#REF!</v>
      </c>
      <c r="AK9" s="50" t="e">
        <f>AK8+AJ9</f>
        <v>#REF!</v>
      </c>
      <c r="AL9" s="50" t="e">
        <f>AJ9*AH9</f>
        <v>#REF!</v>
      </c>
      <c r="AM9" s="51"/>
      <c r="AN9" s="50" t="e">
        <f>AJ9-AL9</f>
        <v>#REF!</v>
      </c>
      <c r="AP9" s="79" t="e">
        <f>AJ9*1%</f>
        <v>#REF!</v>
      </c>
      <c r="AQ9" s="72"/>
      <c r="AR9" s="72"/>
      <c r="AT9" s="43">
        <f t="shared" si="2"/>
        <v>190001</v>
      </c>
      <c r="AU9" s="43">
        <f t="shared" si="2"/>
        <v>100000000</v>
      </c>
      <c r="AV9" s="43">
        <f t="shared" si="2"/>
        <v>99810000</v>
      </c>
      <c r="AW9" s="78">
        <f t="shared" si="2"/>
        <v>0.45</v>
      </c>
      <c r="AX9" s="44"/>
      <c r="AY9" s="50">
        <v>0</v>
      </c>
      <c r="AZ9" s="50">
        <f>AZ8+AY9</f>
        <v>0</v>
      </c>
      <c r="BA9" s="50">
        <f>AY9*AW9</f>
        <v>0</v>
      </c>
      <c r="BB9" s="51"/>
      <c r="BC9" s="50">
        <f>AY9-BA9</f>
        <v>0</v>
      </c>
    </row>
    <row r="10" spans="1:55" ht="13.5" thickBot="1">
      <c r="A10" s="48"/>
      <c r="B10" s="48"/>
      <c r="C10" s="46"/>
      <c r="D10" s="52" t="s">
        <v>59</v>
      </c>
      <c r="E10" s="44"/>
      <c r="F10" s="268">
        <f>SUM(F5:F9)</f>
        <v>0</v>
      </c>
      <c r="G10" s="268"/>
      <c r="H10" s="268">
        <f>SUM(H5:H9)</f>
        <v>0</v>
      </c>
      <c r="I10" s="269"/>
      <c r="J10" s="268">
        <f>SUM(J5:J9)</f>
        <v>0</v>
      </c>
      <c r="L10" s="77"/>
      <c r="M10" s="72"/>
      <c r="N10" s="72"/>
      <c r="P10" s="48"/>
      <c r="Q10" s="48"/>
      <c r="R10" s="46"/>
      <c r="S10" s="52" t="s">
        <v>59</v>
      </c>
      <c r="T10" s="44"/>
      <c r="U10" s="50">
        <f>SUM(U5:U9)</f>
        <v>0</v>
      </c>
      <c r="V10" s="50"/>
      <c r="W10" s="50">
        <f>SUM(W5:W9)</f>
        <v>0</v>
      </c>
      <c r="X10" s="51"/>
      <c r="Y10" s="50">
        <f>SUM(Y5:Y9)</f>
        <v>0</v>
      </c>
      <c r="AA10" s="77">
        <f>SUM(AA7:AA9)</f>
        <v>0</v>
      </c>
      <c r="AB10" s="72"/>
      <c r="AC10" s="72"/>
      <c r="AE10" s="48"/>
      <c r="AF10" s="48"/>
      <c r="AG10" s="46"/>
      <c r="AH10" s="52" t="s">
        <v>59</v>
      </c>
      <c r="AI10" s="44"/>
      <c r="AJ10" s="50" t="e">
        <f>IF(#REF!&lt;0,SUM(AJ5:AJ9),SUM(AJ6:AJ9))</f>
        <v>#REF!</v>
      </c>
      <c r="AK10" s="50"/>
      <c r="AL10" s="50" t="e">
        <f>SUM(AL5:AL9)</f>
        <v>#REF!</v>
      </c>
      <c r="AM10" s="51"/>
      <c r="AN10" s="50" t="e">
        <f>SUM(AN5:AN9)</f>
        <v>#REF!</v>
      </c>
      <c r="AP10" s="77" t="e">
        <f>SUM(AP7:AP9)</f>
        <v>#REF!</v>
      </c>
      <c r="AQ10" s="72"/>
      <c r="AR10" s="72"/>
      <c r="AT10" s="48"/>
      <c r="AU10" s="48"/>
      <c r="AV10" s="46"/>
      <c r="AW10" s="52" t="s">
        <v>59</v>
      </c>
      <c r="AX10" s="44"/>
      <c r="AY10" s="50">
        <f>SUM(AY5:AY9)</f>
        <v>0</v>
      </c>
      <c r="AZ10" s="50"/>
      <c r="BA10" s="50">
        <f>SUM(BA5:BA9)</f>
        <v>0</v>
      </c>
      <c r="BB10" s="51"/>
      <c r="BC10" s="50">
        <f>SUM(BC5:BC9)</f>
        <v>0</v>
      </c>
    </row>
    <row r="11" spans="1:55">
      <c r="A11" s="65" t="s">
        <v>86</v>
      </c>
      <c r="C11" s="75">
        <v>0</v>
      </c>
      <c r="D11" s="76" t="s">
        <v>84</v>
      </c>
      <c r="E11" s="44"/>
      <c r="F11" s="270"/>
      <c r="G11" s="270"/>
      <c r="H11" s="270"/>
      <c r="I11" s="270"/>
      <c r="J11" s="270"/>
      <c r="L11" s="73"/>
      <c r="M11" s="72"/>
      <c r="N11" s="72"/>
      <c r="P11" s="65" t="s">
        <v>86</v>
      </c>
      <c r="R11" s="75">
        <v>0</v>
      </c>
      <c r="S11" s="76" t="s">
        <v>84</v>
      </c>
      <c r="T11" s="44"/>
      <c r="U11" s="43"/>
      <c r="V11" s="43"/>
      <c r="W11" s="43"/>
      <c r="X11" s="43"/>
      <c r="Y11" s="43"/>
      <c r="AA11" s="73"/>
      <c r="AB11" s="72"/>
      <c r="AC11" s="72"/>
      <c r="AE11" s="65" t="s">
        <v>87</v>
      </c>
      <c r="AG11" s="75">
        <v>0</v>
      </c>
      <c r="AH11" s="76" t="s">
        <v>48</v>
      </c>
      <c r="AI11" s="44"/>
      <c r="AJ11" s="43"/>
      <c r="AK11" s="43"/>
      <c r="AL11" s="43"/>
      <c r="AM11" s="43"/>
      <c r="AN11" s="43"/>
      <c r="AP11" s="73"/>
      <c r="AQ11" s="72"/>
      <c r="AR11" s="72"/>
      <c r="AT11" s="65" t="s">
        <v>86</v>
      </c>
      <c r="AV11" s="75">
        <f>IF($AY$10&lt;=$B$97,$D$97,(IF($AY$10&lt;=$B$98,$D$98,IF($AY$10&lt;=$B$99,(($AY$10-$B$98)*$C$99)+$D$99,IF($AY$10&lt;=$B$100,$D$100,IF($AY$10&lt;=$B$101,(($AY$10-$B$100)*$C$101)+$D$101,IF($AY$10&lt;=$B$102,$D$102,0)))))))/12</f>
        <v>0</v>
      </c>
      <c r="AW11" s="76" t="s">
        <v>84</v>
      </c>
      <c r="AX11" s="44"/>
      <c r="AY11" s="43"/>
      <c r="AZ11" s="43"/>
      <c r="BA11" s="43"/>
      <c r="BB11" s="43"/>
      <c r="BC11" s="43"/>
    </row>
    <row r="12" spans="1:55">
      <c r="A12" s="65" t="s">
        <v>85</v>
      </c>
      <c r="C12" s="75">
        <v>0</v>
      </c>
      <c r="D12" s="76" t="s">
        <v>84</v>
      </c>
      <c r="E12" s="44"/>
      <c r="F12" s="270"/>
      <c r="G12" s="270"/>
      <c r="H12" s="270"/>
      <c r="I12" s="270"/>
      <c r="J12" s="270"/>
      <c r="L12" s="73"/>
      <c r="M12" s="72"/>
      <c r="N12" s="72"/>
      <c r="P12" s="65" t="s">
        <v>85</v>
      </c>
      <c r="R12" s="75">
        <v>0</v>
      </c>
      <c r="S12" s="76" t="s">
        <v>84</v>
      </c>
      <c r="T12" s="44"/>
      <c r="U12" s="43"/>
      <c r="V12" s="43"/>
      <c r="W12" s="43"/>
      <c r="X12" s="43"/>
      <c r="Y12" s="43"/>
      <c r="AA12" s="73"/>
      <c r="AB12" s="72"/>
      <c r="AC12" s="72"/>
      <c r="AE12" s="65"/>
      <c r="AG12" s="75"/>
      <c r="AH12" s="76"/>
      <c r="AI12" s="44"/>
      <c r="AJ12" s="43"/>
      <c r="AK12" s="43"/>
      <c r="AL12" s="43"/>
      <c r="AM12" s="43"/>
      <c r="AN12" s="43"/>
      <c r="AP12" s="73"/>
      <c r="AQ12" s="72"/>
      <c r="AR12" s="72"/>
      <c r="AT12" s="65" t="s">
        <v>85</v>
      </c>
      <c r="AV12" s="75">
        <f>IF($AY$10&lt;=$B$109,$D$109,IF($AY$10&lt;=$B$110,$D$110,IF($AY$10&lt;=$B$111,(($AY$10-$B$110)*$C$111)+$D$111,IF($AY$10&lt;=$B$112,$D$112,0))))/12</f>
        <v>0</v>
      </c>
      <c r="AW12" s="76" t="s">
        <v>84</v>
      </c>
      <c r="AX12" s="44"/>
      <c r="AY12" s="43"/>
      <c r="AZ12" s="43"/>
      <c r="BA12" s="43"/>
      <c r="BB12" s="43"/>
      <c r="BC12" s="43"/>
    </row>
    <row r="13" spans="1:55" ht="13.5" thickBot="1">
      <c r="A13" s="57" t="s">
        <v>83</v>
      </c>
      <c r="C13" s="75">
        <f>F10*(2/100)/12</f>
        <v>0</v>
      </c>
      <c r="D13" s="74">
        <v>0.02</v>
      </c>
      <c r="E13" s="44"/>
      <c r="F13" s="270"/>
      <c r="G13" s="270"/>
      <c r="H13" s="270"/>
      <c r="I13" s="270"/>
      <c r="J13" s="270"/>
      <c r="L13" s="73"/>
      <c r="M13" s="72"/>
      <c r="N13" s="72"/>
      <c r="P13" s="57" t="s">
        <v>83</v>
      </c>
      <c r="R13" s="75">
        <f>U10*(2/100)/12</f>
        <v>0</v>
      </c>
      <c r="S13" s="74">
        <v>0.02</v>
      </c>
      <c r="T13" s="44"/>
      <c r="U13" s="43"/>
      <c r="V13" s="43"/>
      <c r="W13" s="43"/>
      <c r="X13" s="43"/>
      <c r="Y13" s="43"/>
      <c r="AA13" s="73"/>
      <c r="AB13" s="72"/>
      <c r="AC13" s="72"/>
      <c r="AE13" s="57" t="s">
        <v>83</v>
      </c>
      <c r="AG13" s="75">
        <v>0</v>
      </c>
      <c r="AH13" s="76" t="s">
        <v>48</v>
      </c>
      <c r="AI13" s="44"/>
      <c r="AJ13" s="43"/>
      <c r="AK13" s="43"/>
      <c r="AL13" s="43"/>
      <c r="AM13" s="43"/>
      <c r="AN13" s="43"/>
      <c r="AP13" s="73"/>
      <c r="AQ13" s="72"/>
      <c r="AR13" s="72"/>
      <c r="AT13" s="57" t="s">
        <v>83</v>
      </c>
      <c r="AV13" s="75">
        <f>AY10*(2/100)/12</f>
        <v>0</v>
      </c>
      <c r="AW13" s="74">
        <v>0.02</v>
      </c>
      <c r="AX13" s="44"/>
      <c r="AY13" s="43"/>
      <c r="AZ13" s="43"/>
      <c r="BA13" s="43"/>
      <c r="BB13" s="43"/>
      <c r="BC13" s="43"/>
    </row>
    <row r="14" spans="1:55" ht="13.5" thickBot="1">
      <c r="A14" s="48"/>
      <c r="B14" s="47"/>
      <c r="C14" s="71">
        <f>SUM(C11:C13)</f>
        <v>0</v>
      </c>
      <c r="D14" s="45"/>
      <c r="E14" s="44"/>
      <c r="F14" s="270"/>
      <c r="G14" s="270"/>
      <c r="H14" s="271" t="s">
        <v>33</v>
      </c>
      <c r="I14" s="272"/>
      <c r="J14" s="273">
        <f>(J10/12)-C14</f>
        <v>0</v>
      </c>
      <c r="L14" s="73"/>
      <c r="M14" s="72"/>
      <c r="N14" s="72"/>
      <c r="P14" s="48"/>
      <c r="Q14" s="47"/>
      <c r="R14" s="71">
        <f>SUM(R11:R13)</f>
        <v>0</v>
      </c>
      <c r="S14" s="45"/>
      <c r="T14" s="44"/>
      <c r="U14" s="43"/>
      <c r="V14" s="43"/>
      <c r="W14" s="42" t="s">
        <v>33</v>
      </c>
      <c r="X14" s="41"/>
      <c r="Y14" s="40">
        <f>(Y10/12)-R14</f>
        <v>0</v>
      </c>
      <c r="AA14" s="73"/>
      <c r="AB14" s="72"/>
      <c r="AC14" s="72"/>
      <c r="AE14" s="48"/>
      <c r="AF14" s="47"/>
      <c r="AG14" s="71">
        <f>SUM(AG11:AG13)</f>
        <v>0</v>
      </c>
      <c r="AH14" s="45"/>
      <c r="AI14" s="44"/>
      <c r="AJ14" s="43"/>
      <c r="AK14" s="43"/>
      <c r="AL14" s="42" t="s">
        <v>33</v>
      </c>
      <c r="AM14" s="41"/>
      <c r="AN14" s="40" t="e">
        <f>(AN10/12)-AG14</f>
        <v>#REF!</v>
      </c>
      <c r="AP14" s="73"/>
      <c r="AQ14" s="72"/>
      <c r="AR14" s="72"/>
      <c r="AT14" s="48"/>
      <c r="AU14" s="47"/>
      <c r="AV14" s="71">
        <f>SUM(AV11:AV13)</f>
        <v>0</v>
      </c>
      <c r="AW14" s="45"/>
      <c r="AX14" s="44"/>
      <c r="AY14" s="43"/>
      <c r="AZ14" s="43"/>
      <c r="BA14" s="42" t="s">
        <v>33</v>
      </c>
      <c r="BB14" s="41"/>
      <c r="BC14" s="40">
        <f>(BC10/12)-AV14</f>
        <v>0</v>
      </c>
    </row>
    <row r="15" spans="1:55">
      <c r="A15" s="46"/>
      <c r="B15" s="46"/>
      <c r="C15" s="46"/>
      <c r="E15" s="46"/>
      <c r="F15" s="46"/>
      <c r="G15" s="46"/>
      <c r="H15" s="46"/>
      <c r="I15" s="46"/>
      <c r="J15" s="46"/>
      <c r="L15" s="73"/>
      <c r="M15" s="72"/>
      <c r="N15" s="72"/>
      <c r="P15" s="46"/>
      <c r="Q15" s="46"/>
      <c r="R15" s="46"/>
      <c r="T15" s="46"/>
      <c r="U15" s="46"/>
      <c r="V15" s="46"/>
      <c r="W15" s="46"/>
      <c r="X15" s="46"/>
      <c r="Y15" s="46"/>
      <c r="AA15" s="73"/>
      <c r="AB15" s="72"/>
      <c r="AC15" s="72"/>
      <c r="AE15" s="46"/>
      <c r="AF15" s="46"/>
      <c r="AG15" s="46"/>
      <c r="AI15" s="46"/>
      <c r="AJ15" s="46"/>
      <c r="AK15" s="46"/>
      <c r="AL15" s="46"/>
      <c r="AM15" s="46"/>
      <c r="AN15" s="46"/>
      <c r="AP15" s="73"/>
      <c r="AQ15" s="72"/>
      <c r="AR15" s="72"/>
      <c r="AT15" s="46"/>
      <c r="AU15" s="46"/>
      <c r="AV15" s="46"/>
      <c r="AX15" s="46"/>
      <c r="AY15" s="46"/>
      <c r="AZ15" s="46"/>
      <c r="BA15" s="46"/>
      <c r="BB15" s="46"/>
      <c r="BC15" s="46"/>
    </row>
    <row r="16" spans="1:55">
      <c r="A16" s="90" t="s">
        <v>90</v>
      </c>
      <c r="B16" s="90"/>
      <c r="C16" s="90"/>
      <c r="D16" s="90"/>
      <c r="E16" s="90"/>
      <c r="F16" s="90"/>
      <c r="G16" s="90"/>
      <c r="H16" s="91"/>
      <c r="I16" s="91"/>
      <c r="J16" s="91"/>
      <c r="L16" s="73"/>
      <c r="M16" s="72"/>
      <c r="N16" s="72"/>
      <c r="P16" s="90" t="s">
        <v>90</v>
      </c>
      <c r="Q16" s="90"/>
      <c r="R16" s="90"/>
      <c r="S16" s="90"/>
      <c r="T16" s="90"/>
      <c r="U16" s="90"/>
      <c r="V16" s="90"/>
      <c r="W16" s="91"/>
      <c r="X16" s="91"/>
      <c r="Y16" s="91"/>
      <c r="AA16" s="73"/>
      <c r="AB16" s="72"/>
      <c r="AC16" s="72"/>
      <c r="AE16" s="90" t="s">
        <v>90</v>
      </c>
      <c r="AF16" s="90"/>
      <c r="AG16" s="90"/>
      <c r="AH16" s="90"/>
      <c r="AI16" s="90"/>
      <c r="AJ16" s="90"/>
      <c r="AK16" s="90"/>
      <c r="AL16" s="91"/>
      <c r="AM16" s="91"/>
      <c r="AN16" s="91"/>
      <c r="AP16" s="73"/>
      <c r="AQ16" s="72"/>
      <c r="AR16" s="72"/>
      <c r="AT16" s="90" t="s">
        <v>90</v>
      </c>
      <c r="AU16" s="90"/>
      <c r="AV16" s="90"/>
      <c r="AW16" s="90"/>
      <c r="AX16" s="90"/>
      <c r="AY16" s="90"/>
      <c r="AZ16" s="90"/>
      <c r="BA16" s="91"/>
      <c r="BB16" s="91"/>
      <c r="BC16" s="91"/>
    </row>
    <row r="17" spans="1:55" ht="13.5" thickBot="1">
      <c r="A17" s="57" t="s">
        <v>64</v>
      </c>
      <c r="B17" s="57"/>
      <c r="C17" s="46"/>
      <c r="D17" s="57" t="s">
        <v>63</v>
      </c>
      <c r="E17" s="46"/>
      <c r="F17" s="56" t="s">
        <v>62</v>
      </c>
      <c r="G17" s="56"/>
      <c r="H17" s="56" t="s">
        <v>61</v>
      </c>
      <c r="I17" s="56"/>
      <c r="J17" s="56" t="s">
        <v>60</v>
      </c>
      <c r="L17" s="73"/>
      <c r="M17" s="72"/>
      <c r="N17" s="72"/>
      <c r="P17" s="57" t="s">
        <v>64</v>
      </c>
      <c r="Q17" s="57"/>
      <c r="R17" s="46"/>
      <c r="S17" s="57" t="s">
        <v>63</v>
      </c>
      <c r="T17" s="46"/>
      <c r="U17" s="56" t="s">
        <v>62</v>
      </c>
      <c r="V17" s="56"/>
      <c r="W17" s="56" t="s">
        <v>61</v>
      </c>
      <c r="X17" s="56"/>
      <c r="Y17" s="56" t="s">
        <v>60</v>
      </c>
      <c r="AA17" s="73"/>
      <c r="AB17" s="72"/>
      <c r="AC17" s="72"/>
      <c r="AE17" s="57" t="s">
        <v>64</v>
      </c>
      <c r="AF17" s="57"/>
      <c r="AG17" s="46"/>
      <c r="AH17" s="57" t="s">
        <v>63</v>
      </c>
      <c r="AI17" s="46"/>
      <c r="AJ17" s="56" t="s">
        <v>62</v>
      </c>
      <c r="AK17" s="56"/>
      <c r="AL17" s="56" t="s">
        <v>61</v>
      </c>
      <c r="AM17" s="56"/>
      <c r="AN17" s="56" t="s">
        <v>60</v>
      </c>
      <c r="AP17" s="73"/>
      <c r="AQ17" s="72"/>
      <c r="AR17" s="72"/>
      <c r="AT17" s="57" t="s">
        <v>64</v>
      </c>
      <c r="AU17" s="57"/>
      <c r="AV17" s="46"/>
      <c r="AW17" s="57" t="s">
        <v>63</v>
      </c>
      <c r="AX17" s="46"/>
      <c r="AY17" s="56" t="s">
        <v>62</v>
      </c>
      <c r="AZ17" s="56"/>
      <c r="BA17" s="56" t="s">
        <v>61</v>
      </c>
      <c r="BB17" s="56"/>
      <c r="BC17" s="56" t="s">
        <v>60</v>
      </c>
    </row>
    <row r="18" spans="1:55" ht="13.5" thickBot="1">
      <c r="A18" s="43">
        <f t="shared" ref="A18:D22" si="3">A5</f>
        <v>1</v>
      </c>
      <c r="B18" s="43">
        <f t="shared" si="3"/>
        <v>18200</v>
      </c>
      <c r="C18" s="48">
        <f t="shared" si="3"/>
        <v>18200</v>
      </c>
      <c r="D18" s="69">
        <f t="shared" si="3"/>
        <v>0</v>
      </c>
      <c r="E18" s="44"/>
      <c r="F18" s="50">
        <f>IF('SME Servicing Calculator'!O34&lt;B18,'SME Servicing Calculator'!O34,C18)</f>
        <v>0</v>
      </c>
      <c r="G18" s="50">
        <f>F18</f>
        <v>0</v>
      </c>
      <c r="H18" s="50">
        <f>F18*D18</f>
        <v>0</v>
      </c>
      <c r="I18" s="51"/>
      <c r="J18" s="50">
        <f>F18-H18</f>
        <v>0</v>
      </c>
      <c r="L18" s="73"/>
      <c r="M18" s="72"/>
      <c r="N18" s="72"/>
      <c r="P18" s="43">
        <f t="shared" ref="P18:S22" si="4">A18</f>
        <v>1</v>
      </c>
      <c r="Q18" s="43">
        <f t="shared" si="4"/>
        <v>18200</v>
      </c>
      <c r="R18" s="43">
        <f t="shared" si="4"/>
        <v>18200</v>
      </c>
      <c r="S18" s="78">
        <f t="shared" si="4"/>
        <v>0</v>
      </c>
      <c r="T18" s="44"/>
      <c r="U18" s="50">
        <f>IF('SMSF Servicing Calculator'!N68&lt;Q18,'SMSF Servicing Calculator'!N68,R18)</f>
        <v>0</v>
      </c>
      <c r="V18" s="50">
        <f>U18</f>
        <v>0</v>
      </c>
      <c r="W18" s="50">
        <f>U18*S18</f>
        <v>0</v>
      </c>
      <c r="X18" s="51"/>
      <c r="Y18" s="50">
        <f>U18-W18</f>
        <v>0</v>
      </c>
      <c r="AA18" s="73"/>
      <c r="AB18" s="72"/>
      <c r="AC18" s="72"/>
      <c r="AE18" s="43">
        <f t="shared" ref="AE18:AH22" si="5">AE5</f>
        <v>1</v>
      </c>
      <c r="AF18" s="43">
        <f t="shared" si="5"/>
        <v>18200</v>
      </c>
      <c r="AG18" s="48">
        <f t="shared" si="5"/>
        <v>18200</v>
      </c>
      <c r="AH18" s="69">
        <f t="shared" si="5"/>
        <v>0</v>
      </c>
      <c r="AI18" s="44"/>
      <c r="AJ18" s="50" t="e">
        <f>IF(#REF!&lt;AF18,#REF!,AG18)</f>
        <v>#REF!</v>
      </c>
      <c r="AK18" s="50" t="e">
        <f>AJ18</f>
        <v>#REF!</v>
      </c>
      <c r="AL18" s="50" t="e">
        <f>AJ18*AH18</f>
        <v>#REF!</v>
      </c>
      <c r="AM18" s="51"/>
      <c r="AN18" s="50" t="e">
        <f>AJ18-AL18</f>
        <v>#REF!</v>
      </c>
      <c r="AP18" s="73"/>
      <c r="AQ18" s="72"/>
      <c r="AR18" s="72"/>
      <c r="AT18" s="43">
        <f t="shared" ref="AT18:AW22" si="6">AT5</f>
        <v>1</v>
      </c>
      <c r="AU18" s="43">
        <f t="shared" si="6"/>
        <v>18200</v>
      </c>
      <c r="AV18" s="43">
        <f t="shared" si="6"/>
        <v>18200</v>
      </c>
      <c r="AW18" s="78">
        <f t="shared" si="6"/>
        <v>0</v>
      </c>
      <c r="AX18" s="44"/>
      <c r="AY18" s="50">
        <v>0</v>
      </c>
      <c r="AZ18" s="50">
        <f>AY18</f>
        <v>0</v>
      </c>
      <c r="BA18" s="50">
        <f>AY18*AW18</f>
        <v>0</v>
      </c>
      <c r="BB18" s="51"/>
      <c r="BC18" s="50">
        <f>AY18-BA18</f>
        <v>0</v>
      </c>
    </row>
    <row r="19" spans="1:55" ht="13.5" thickBot="1">
      <c r="A19" s="43">
        <f t="shared" si="3"/>
        <v>18201</v>
      </c>
      <c r="B19" s="43">
        <f t="shared" si="3"/>
        <v>45000</v>
      </c>
      <c r="C19" s="48">
        <f t="shared" si="3"/>
        <v>26800</v>
      </c>
      <c r="D19" s="69">
        <f t="shared" si="3"/>
        <v>0.16</v>
      </c>
      <c r="E19" s="44"/>
      <c r="F19" s="50">
        <f>IF(G18='SME Servicing Calculator'!O34,0,IF(('SME Servicing Calculator'!O34-G18)&gt;C19,C19,('SME Servicing Calculator'!O34-G18)))</f>
        <v>0</v>
      </c>
      <c r="G19" s="50">
        <f>G18+F19</f>
        <v>0</v>
      </c>
      <c r="H19" s="50">
        <f>F19*D19</f>
        <v>0</v>
      </c>
      <c r="I19" s="51"/>
      <c r="J19" s="50">
        <f>F19-H19</f>
        <v>0</v>
      </c>
      <c r="L19" s="73"/>
      <c r="M19" s="72"/>
      <c r="N19" s="72"/>
      <c r="P19" s="43">
        <f t="shared" si="4"/>
        <v>18201</v>
      </c>
      <c r="Q19" s="43">
        <f t="shared" si="4"/>
        <v>45000</v>
      </c>
      <c r="R19" s="43">
        <f t="shared" si="4"/>
        <v>26800</v>
      </c>
      <c r="S19" s="78">
        <f t="shared" si="4"/>
        <v>0.16</v>
      </c>
      <c r="T19" s="44"/>
      <c r="U19" s="50">
        <f>IF(V18='SMSF Servicing Calculator'!$N$68,0,IF(('SMSF Servicing Calculator'!$N$68-V18)&gt;R19,R19,('SMSF Servicing Calculator'!$N$68-V18)))</f>
        <v>0</v>
      </c>
      <c r="V19" s="50">
        <f>V18+U19</f>
        <v>0</v>
      </c>
      <c r="W19" s="50">
        <f>U19*S19</f>
        <v>0</v>
      </c>
      <c r="X19" s="51"/>
      <c r="Y19" s="50">
        <f>U19-W19</f>
        <v>0</v>
      </c>
      <c r="AA19" s="73"/>
      <c r="AB19" s="72"/>
      <c r="AC19" s="72"/>
      <c r="AE19" s="43">
        <f t="shared" si="5"/>
        <v>18201</v>
      </c>
      <c r="AF19" s="43">
        <f t="shared" si="5"/>
        <v>45000</v>
      </c>
      <c r="AG19" s="48">
        <f t="shared" si="5"/>
        <v>26800</v>
      </c>
      <c r="AH19" s="69">
        <f t="shared" si="5"/>
        <v>0.16</v>
      </c>
      <c r="AI19" s="44"/>
      <c r="AJ19" s="50" t="e">
        <f>IF(AK18=#REF!,0,IF((#REF!-AK18)&gt;AG19,AG19,(#REF!-AK18)))</f>
        <v>#REF!</v>
      </c>
      <c r="AK19" s="50" t="e">
        <f>AK18+AJ19</f>
        <v>#REF!</v>
      </c>
      <c r="AL19" s="50" t="e">
        <f>AJ19*AH19</f>
        <v>#REF!</v>
      </c>
      <c r="AM19" s="51"/>
      <c r="AN19" s="50" t="e">
        <f>AJ19-AL19</f>
        <v>#REF!</v>
      </c>
      <c r="AP19" s="73"/>
      <c r="AQ19" s="72"/>
      <c r="AR19" s="72"/>
      <c r="AT19" s="43">
        <f t="shared" si="6"/>
        <v>18201</v>
      </c>
      <c r="AU19" s="43">
        <f t="shared" si="6"/>
        <v>45000</v>
      </c>
      <c r="AV19" s="43">
        <f t="shared" si="6"/>
        <v>26800</v>
      </c>
      <c r="AW19" s="78">
        <f t="shared" si="6"/>
        <v>0.16</v>
      </c>
      <c r="AX19" s="44"/>
      <c r="AY19" s="50">
        <v>0</v>
      </c>
      <c r="AZ19" s="50">
        <f>AZ18+AY19</f>
        <v>0</v>
      </c>
      <c r="BA19" s="50">
        <f>AY19*AW19</f>
        <v>0</v>
      </c>
      <c r="BB19" s="51"/>
      <c r="BC19" s="50">
        <f>AY19-BA19</f>
        <v>0</v>
      </c>
    </row>
    <row r="20" spans="1:55" ht="13.5" thickBot="1">
      <c r="A20" s="43">
        <f t="shared" si="3"/>
        <v>45001</v>
      </c>
      <c r="B20" s="43">
        <f t="shared" si="3"/>
        <v>135000</v>
      </c>
      <c r="C20" s="48">
        <f t="shared" si="3"/>
        <v>90000</v>
      </c>
      <c r="D20" s="69">
        <f t="shared" si="3"/>
        <v>0.3</v>
      </c>
      <c r="E20" s="44"/>
      <c r="F20" s="50">
        <f>IF(G19='SME Servicing Calculator'!O34,0,IF(('SME Servicing Calculator'!O34-G19)&gt;C20,C20,('SME Servicing Calculator'!O34-G19)))</f>
        <v>0</v>
      </c>
      <c r="G20" s="50">
        <f>G19+F20</f>
        <v>0</v>
      </c>
      <c r="H20" s="50">
        <f>F20*D20</f>
        <v>0</v>
      </c>
      <c r="I20" s="51"/>
      <c r="J20" s="50">
        <f>F20-H20</f>
        <v>0</v>
      </c>
      <c r="L20" s="79"/>
      <c r="M20" s="72"/>
      <c r="N20" s="72"/>
      <c r="P20" s="43">
        <f t="shared" si="4"/>
        <v>45001</v>
      </c>
      <c r="Q20" s="43">
        <f t="shared" si="4"/>
        <v>135000</v>
      </c>
      <c r="R20" s="43">
        <f t="shared" si="4"/>
        <v>90000</v>
      </c>
      <c r="S20" s="78">
        <f t="shared" si="4"/>
        <v>0.3</v>
      </c>
      <c r="T20" s="44"/>
      <c r="U20" s="50">
        <f>IF(V19='SMSF Servicing Calculator'!$N$68,0,IF(('SMSF Servicing Calculator'!$N$68-V19)&gt;R20,R20,('SMSF Servicing Calculator'!$N$68-V19)))</f>
        <v>0</v>
      </c>
      <c r="V20" s="50">
        <f>V19+U20</f>
        <v>0</v>
      </c>
      <c r="W20" s="50">
        <f>U20*S20</f>
        <v>0</v>
      </c>
      <c r="X20" s="51"/>
      <c r="Y20" s="50">
        <f>U20-W20</f>
        <v>0</v>
      </c>
      <c r="AA20" s="79">
        <f>IF(U20&gt;13000,(U20-13000)*0.5%,0)</f>
        <v>0</v>
      </c>
      <c r="AB20" s="72"/>
      <c r="AC20" s="72"/>
      <c r="AE20" s="43">
        <f t="shared" si="5"/>
        <v>45001</v>
      </c>
      <c r="AF20" s="43">
        <f t="shared" si="5"/>
        <v>135000</v>
      </c>
      <c r="AG20" s="48">
        <f t="shared" si="5"/>
        <v>90000</v>
      </c>
      <c r="AH20" s="69">
        <f t="shared" si="5"/>
        <v>0.3</v>
      </c>
      <c r="AI20" s="44"/>
      <c r="AJ20" s="50" t="e">
        <f>IF(AK19=#REF!,0,IF((#REF!-AK19)&gt;AG20,AG20,(#REF!-AK19)))</f>
        <v>#REF!</v>
      </c>
      <c r="AK20" s="50" t="e">
        <f>AK19+AJ20</f>
        <v>#REF!</v>
      </c>
      <c r="AL20" s="50" t="e">
        <f>AJ20*AH20</f>
        <v>#REF!</v>
      </c>
      <c r="AM20" s="51"/>
      <c r="AN20" s="50" t="e">
        <f>AJ20-AL20</f>
        <v>#REF!</v>
      </c>
      <c r="AP20" s="79" t="e">
        <f>IF(AJ20&gt;13000,(AJ20-13000)*0.5%,0)</f>
        <v>#REF!</v>
      </c>
      <c r="AQ20" s="72"/>
      <c r="AR20" s="72"/>
      <c r="AT20" s="43">
        <f t="shared" si="6"/>
        <v>45001</v>
      </c>
      <c r="AU20" s="43">
        <f t="shared" si="6"/>
        <v>135000</v>
      </c>
      <c r="AV20" s="43">
        <f t="shared" si="6"/>
        <v>90000</v>
      </c>
      <c r="AW20" s="78">
        <f t="shared" si="6"/>
        <v>0.3</v>
      </c>
      <c r="AX20" s="44"/>
      <c r="AY20" s="50">
        <v>0</v>
      </c>
      <c r="AZ20" s="50">
        <f>AZ19+AY20</f>
        <v>0</v>
      </c>
      <c r="BA20" s="50">
        <f>AY20*AW20</f>
        <v>0</v>
      </c>
      <c r="BB20" s="51"/>
      <c r="BC20" s="50">
        <f>AY20-BA20</f>
        <v>0</v>
      </c>
    </row>
    <row r="21" spans="1:55" ht="13.5" thickBot="1">
      <c r="A21" s="43">
        <f t="shared" si="3"/>
        <v>135001</v>
      </c>
      <c r="B21" s="43">
        <f t="shared" si="3"/>
        <v>190001</v>
      </c>
      <c r="C21" s="48">
        <f t="shared" si="3"/>
        <v>55001</v>
      </c>
      <c r="D21" s="69">
        <f t="shared" si="3"/>
        <v>0.37</v>
      </c>
      <c r="E21" s="44"/>
      <c r="F21" s="50">
        <f>IF(G20='SME Servicing Calculator'!O34,0,IF(('SME Servicing Calculator'!O34-G20)&gt;C21,C21,('SME Servicing Calculator'!O34-G20)))</f>
        <v>0</v>
      </c>
      <c r="G21" s="50">
        <f>G20+F21</f>
        <v>0</v>
      </c>
      <c r="H21" s="50">
        <f>F21*D21</f>
        <v>0</v>
      </c>
      <c r="I21" s="51"/>
      <c r="J21" s="50">
        <f>F21-H21</f>
        <v>0</v>
      </c>
      <c r="L21" s="73"/>
      <c r="M21" s="79"/>
      <c r="N21" s="80"/>
      <c r="P21" s="43">
        <f t="shared" si="4"/>
        <v>135001</v>
      </c>
      <c r="Q21" s="43">
        <f t="shared" si="4"/>
        <v>190001</v>
      </c>
      <c r="R21" s="43">
        <f t="shared" si="4"/>
        <v>55001</v>
      </c>
      <c r="S21" s="78">
        <f t="shared" si="4"/>
        <v>0.37</v>
      </c>
      <c r="T21" s="44"/>
      <c r="U21" s="50">
        <f>IF(V20='SMSF Servicing Calculator'!$N$68,0,IF(('SMSF Servicing Calculator'!$N$68-V20)&gt;R21,R21,('SMSF Servicing Calculator'!$N$68-V20)))</f>
        <v>0</v>
      </c>
      <c r="V21" s="50">
        <f>V20+U21</f>
        <v>0</v>
      </c>
      <c r="W21" s="50">
        <f>U21*S21</f>
        <v>0</v>
      </c>
      <c r="X21" s="51"/>
      <c r="Y21" s="50">
        <f>U21-W21</f>
        <v>0</v>
      </c>
      <c r="AA21" s="73">
        <f>SUM(AB21:AC21)</f>
        <v>0</v>
      </c>
      <c r="AB21" s="79">
        <f>IF(U21&lt;=20000,U21*0.5%,0)</f>
        <v>0</v>
      </c>
      <c r="AC21" s="80">
        <f>IF(U21&gt;20000,((U21-20000)*1%)+100,0)</f>
        <v>0</v>
      </c>
      <c r="AE21" s="43">
        <f t="shared" si="5"/>
        <v>135001</v>
      </c>
      <c r="AF21" s="43">
        <f t="shared" si="5"/>
        <v>190001</v>
      </c>
      <c r="AG21" s="48">
        <f t="shared" si="5"/>
        <v>55001</v>
      </c>
      <c r="AH21" s="69">
        <f t="shared" si="5"/>
        <v>0.37</v>
      </c>
      <c r="AI21" s="44"/>
      <c r="AJ21" s="50" t="e">
        <f>IF(AK20=#REF!,0,IF((#REF!-AK20)&gt;AG21,AG21,(#REF!-AK20)))</f>
        <v>#REF!</v>
      </c>
      <c r="AK21" s="50" t="e">
        <f>AK20+AJ21</f>
        <v>#REF!</v>
      </c>
      <c r="AL21" s="50" t="e">
        <f>AJ21*AH21</f>
        <v>#REF!</v>
      </c>
      <c r="AM21" s="51"/>
      <c r="AN21" s="50" t="e">
        <f>AJ21-AL21</f>
        <v>#REF!</v>
      </c>
      <c r="AP21" s="73" t="e">
        <f>SUM(AQ21:AR21)</f>
        <v>#REF!</v>
      </c>
      <c r="AQ21" s="79" t="e">
        <f>IF(AJ21&lt;=20000,AJ21*0.5%,0)</f>
        <v>#REF!</v>
      </c>
      <c r="AR21" s="80" t="e">
        <f>IF(AJ21&gt;20000,((AJ21-20000)*1%)+100,0)</f>
        <v>#REF!</v>
      </c>
      <c r="AT21" s="43">
        <f t="shared" si="6"/>
        <v>135001</v>
      </c>
      <c r="AU21" s="43">
        <f t="shared" si="6"/>
        <v>190001</v>
      </c>
      <c r="AV21" s="43">
        <f t="shared" si="6"/>
        <v>55001</v>
      </c>
      <c r="AW21" s="78">
        <f t="shared" si="6"/>
        <v>0.37</v>
      </c>
      <c r="AX21" s="44"/>
      <c r="AY21" s="50">
        <v>0</v>
      </c>
      <c r="AZ21" s="50">
        <f>AZ20+AY21</f>
        <v>0</v>
      </c>
      <c r="BA21" s="50">
        <f>AY21*AW21</f>
        <v>0</v>
      </c>
      <c r="BB21" s="51"/>
      <c r="BC21" s="50">
        <f>AY21-BA21</f>
        <v>0</v>
      </c>
    </row>
    <row r="22" spans="1:55" ht="13.5" thickBot="1">
      <c r="A22" s="43">
        <f t="shared" si="3"/>
        <v>190001</v>
      </c>
      <c r="B22" s="43">
        <f t="shared" si="3"/>
        <v>100000000</v>
      </c>
      <c r="C22" s="48">
        <f t="shared" si="3"/>
        <v>99810000</v>
      </c>
      <c r="D22" s="69">
        <f t="shared" si="3"/>
        <v>0.45</v>
      </c>
      <c r="E22" s="44"/>
      <c r="F22" s="50">
        <f>IF('SME Servicing Calculator'!O34-G21&lt;=0,0,('SME Servicing Calculator'!O34-G21))</f>
        <v>0</v>
      </c>
      <c r="G22" s="50">
        <f>G21+F22</f>
        <v>0</v>
      </c>
      <c r="H22" s="50">
        <f>F22*D22</f>
        <v>0</v>
      </c>
      <c r="I22" s="51"/>
      <c r="J22" s="50">
        <f>F22-H22</f>
        <v>0</v>
      </c>
      <c r="L22" s="79"/>
      <c r="M22" s="72"/>
      <c r="N22" s="72"/>
      <c r="P22" s="43">
        <f t="shared" si="4"/>
        <v>190001</v>
      </c>
      <c r="Q22" s="43">
        <f t="shared" si="4"/>
        <v>100000000</v>
      </c>
      <c r="R22" s="43">
        <f t="shared" si="4"/>
        <v>99810000</v>
      </c>
      <c r="S22" s="78">
        <f t="shared" si="4"/>
        <v>0.45</v>
      </c>
      <c r="T22" s="44"/>
      <c r="U22" s="50">
        <f>IF(V21='SMSF Servicing Calculator'!$N$68,0,IF(('SMSF Servicing Calculator'!$N$68-V21)&gt;R22,R22,('SMSF Servicing Calculator'!$N$68-V21)))</f>
        <v>0</v>
      </c>
      <c r="V22" s="50">
        <f>V21+U22</f>
        <v>0</v>
      </c>
      <c r="W22" s="50">
        <f>U22*S22</f>
        <v>0</v>
      </c>
      <c r="X22" s="51"/>
      <c r="Y22" s="50">
        <f>U22-W22</f>
        <v>0</v>
      </c>
      <c r="AA22" s="79">
        <f>U22*1%</f>
        <v>0</v>
      </c>
      <c r="AB22" s="72"/>
      <c r="AC22" s="72"/>
      <c r="AE22" s="43">
        <f t="shared" si="5"/>
        <v>190001</v>
      </c>
      <c r="AF22" s="43">
        <f t="shared" si="5"/>
        <v>100000000</v>
      </c>
      <c r="AG22" s="48">
        <f t="shared" si="5"/>
        <v>99810000</v>
      </c>
      <c r="AH22" s="69">
        <f t="shared" si="5"/>
        <v>0.45</v>
      </c>
      <c r="AI22" s="44"/>
      <c r="AJ22" s="50" t="e">
        <f>IF(#REF!-AK21&lt;=0,0,(#REF!-AK21))</f>
        <v>#REF!</v>
      </c>
      <c r="AK22" s="50" t="e">
        <f>AK21+AJ22</f>
        <v>#REF!</v>
      </c>
      <c r="AL22" s="50" t="e">
        <f>AJ22*AH22</f>
        <v>#REF!</v>
      </c>
      <c r="AM22" s="51"/>
      <c r="AN22" s="50" t="e">
        <f>AJ22-AL22</f>
        <v>#REF!</v>
      </c>
      <c r="AP22" s="79" t="e">
        <f>AJ22*1%</f>
        <v>#REF!</v>
      </c>
      <c r="AQ22" s="72"/>
      <c r="AR22" s="72"/>
      <c r="AT22" s="43">
        <f t="shared" si="6"/>
        <v>190001</v>
      </c>
      <c r="AU22" s="43">
        <f t="shared" si="6"/>
        <v>100000000</v>
      </c>
      <c r="AV22" s="43">
        <f t="shared" si="6"/>
        <v>99810000</v>
      </c>
      <c r="AW22" s="78">
        <f t="shared" si="6"/>
        <v>0.45</v>
      </c>
      <c r="AX22" s="44"/>
      <c r="AY22" s="50">
        <v>0</v>
      </c>
      <c r="AZ22" s="50">
        <f>AZ21+AY22</f>
        <v>0</v>
      </c>
      <c r="BA22" s="50">
        <f>AY22*AW22</f>
        <v>0</v>
      </c>
      <c r="BB22" s="51"/>
      <c r="BC22" s="50">
        <f>AY22-BA22</f>
        <v>0</v>
      </c>
    </row>
    <row r="23" spans="1:55" ht="13.5" thickBot="1">
      <c r="A23" s="48"/>
      <c r="B23" s="48"/>
      <c r="C23" s="46"/>
      <c r="D23" s="52" t="s">
        <v>59</v>
      </c>
      <c r="E23" s="44"/>
      <c r="F23" s="50">
        <f>SUM(F18:F22)</f>
        <v>0</v>
      </c>
      <c r="G23" s="50"/>
      <c r="H23" s="50">
        <f>SUM(H18:H22)</f>
        <v>0</v>
      </c>
      <c r="I23" s="51"/>
      <c r="J23" s="50">
        <f>SUM(J18:J22)</f>
        <v>0</v>
      </c>
      <c r="L23" s="77"/>
      <c r="M23" s="72"/>
      <c r="N23" s="72"/>
      <c r="P23" s="48"/>
      <c r="Q23" s="48"/>
      <c r="R23" s="46"/>
      <c r="S23" s="52" t="s">
        <v>59</v>
      </c>
      <c r="T23" s="44"/>
      <c r="U23" s="50">
        <f>SUM(U18:U22)</f>
        <v>0</v>
      </c>
      <c r="V23" s="50"/>
      <c r="W23" s="50">
        <f>SUM(W18:W22)</f>
        <v>0</v>
      </c>
      <c r="X23" s="51"/>
      <c r="Y23" s="50">
        <f>SUM(Y18:Y22)</f>
        <v>0</v>
      </c>
      <c r="AA23" s="77">
        <f>SUM(AA20:AA22)</f>
        <v>0</v>
      </c>
      <c r="AB23" s="72"/>
      <c r="AC23" s="72"/>
      <c r="AE23" s="48"/>
      <c r="AF23" s="48"/>
      <c r="AG23" s="46"/>
      <c r="AH23" s="52" t="s">
        <v>59</v>
      </c>
      <c r="AI23" s="44"/>
      <c r="AJ23" s="50" t="e">
        <f>SUM(AJ18:AJ22)</f>
        <v>#REF!</v>
      </c>
      <c r="AK23" s="50"/>
      <c r="AL23" s="50" t="e">
        <f>SUM(AL18:AL22)</f>
        <v>#REF!</v>
      </c>
      <c r="AM23" s="51"/>
      <c r="AN23" s="50" t="e">
        <f>SUM(AN18:AN22)</f>
        <v>#REF!</v>
      </c>
      <c r="AP23" s="77" t="e">
        <f>SUM(AP20:AP22)</f>
        <v>#REF!</v>
      </c>
      <c r="AQ23" s="72"/>
      <c r="AR23" s="72"/>
      <c r="AT23" s="48"/>
      <c r="AU23" s="48"/>
      <c r="AV23" s="46"/>
      <c r="AW23" s="52" t="s">
        <v>59</v>
      </c>
      <c r="AX23" s="44"/>
      <c r="AY23" s="50">
        <f>SUM(AY18:AY22)</f>
        <v>0</v>
      </c>
      <c r="AZ23" s="50"/>
      <c r="BA23" s="50">
        <f>SUM(BA18:BA22)</f>
        <v>0</v>
      </c>
      <c r="BB23" s="51"/>
      <c r="BC23" s="50">
        <f>SUM(BC18:BC22)</f>
        <v>0</v>
      </c>
    </row>
    <row r="24" spans="1:55">
      <c r="A24" s="65" t="s">
        <v>86</v>
      </c>
      <c r="C24" s="75">
        <v>0</v>
      </c>
      <c r="D24" s="76" t="s">
        <v>84</v>
      </c>
      <c r="E24" s="44"/>
      <c r="F24" s="43"/>
      <c r="G24" s="43"/>
      <c r="H24" s="43"/>
      <c r="I24" s="43"/>
      <c r="J24" s="43"/>
      <c r="L24" s="73"/>
      <c r="M24" s="72"/>
      <c r="N24" s="72"/>
      <c r="P24" s="65" t="s">
        <v>86</v>
      </c>
      <c r="R24" s="75">
        <v>0</v>
      </c>
      <c r="S24" s="76" t="s">
        <v>84</v>
      </c>
      <c r="T24" s="44"/>
      <c r="U24" s="43"/>
      <c r="V24" s="43"/>
      <c r="W24" s="43"/>
      <c r="X24" s="43"/>
      <c r="Y24" s="43"/>
      <c r="AA24" s="73"/>
      <c r="AB24" s="72"/>
      <c r="AC24" s="72"/>
      <c r="AE24" s="65" t="s">
        <v>87</v>
      </c>
      <c r="AG24" s="75">
        <v>0</v>
      </c>
      <c r="AH24" s="76" t="s">
        <v>48</v>
      </c>
      <c r="AI24" s="44"/>
      <c r="AJ24" s="43"/>
      <c r="AK24" s="43"/>
      <c r="AL24" s="43"/>
      <c r="AM24" s="43"/>
      <c r="AN24" s="43"/>
      <c r="AP24" s="73"/>
      <c r="AQ24" s="72"/>
      <c r="AR24" s="72"/>
      <c r="AT24" s="65" t="s">
        <v>86</v>
      </c>
      <c r="AV24" s="75">
        <f>IF($AY$23&lt;=$B$97,$D$97,(IF($AY$23&lt;=$B$98,$D$98,IF($AY$23&lt;=$B$99,(($AY$23-$B$98)*$C$99)+$D$99,IF($AY$23&lt;=$B$100,$D$100,IF($AY$23&lt;=$B$101,(($AY$23-$B$100)*$C$101)+$D$101,IF($AY$23&lt;=$B$102,$D$102,0)))))))/12</f>
        <v>0</v>
      </c>
      <c r="AW24" s="76" t="s">
        <v>84</v>
      </c>
      <c r="AX24" s="44"/>
      <c r="AY24" s="43"/>
      <c r="AZ24" s="43"/>
      <c r="BA24" s="43"/>
      <c r="BB24" s="43"/>
      <c r="BC24" s="43"/>
    </row>
    <row r="25" spans="1:55">
      <c r="A25" s="65" t="s">
        <v>85</v>
      </c>
      <c r="C25" s="75">
        <v>0</v>
      </c>
      <c r="D25" s="76" t="s">
        <v>84</v>
      </c>
      <c r="E25" s="44"/>
      <c r="F25" s="43"/>
      <c r="G25" s="43"/>
      <c r="H25" s="43"/>
      <c r="I25" s="43"/>
      <c r="J25" s="43"/>
      <c r="L25" s="73"/>
      <c r="M25" s="72"/>
      <c r="N25" s="72"/>
      <c r="P25" s="65" t="s">
        <v>85</v>
      </c>
      <c r="R25" s="75">
        <v>0</v>
      </c>
      <c r="S25" s="76" t="s">
        <v>84</v>
      </c>
      <c r="T25" s="44"/>
      <c r="U25" s="43"/>
      <c r="V25" s="43"/>
      <c r="W25" s="43"/>
      <c r="X25" s="43"/>
      <c r="Y25" s="43"/>
      <c r="AA25" s="73"/>
      <c r="AB25" s="72"/>
      <c r="AC25" s="72"/>
      <c r="AE25" s="65"/>
      <c r="AG25" s="75"/>
      <c r="AH25" s="76"/>
      <c r="AI25" s="44"/>
      <c r="AJ25" s="43"/>
      <c r="AK25" s="43"/>
      <c r="AL25" s="43"/>
      <c r="AM25" s="43"/>
      <c r="AN25" s="43"/>
      <c r="AP25" s="73"/>
      <c r="AQ25" s="72"/>
      <c r="AR25" s="72"/>
      <c r="AT25" s="65" t="s">
        <v>85</v>
      </c>
      <c r="AV25" s="75">
        <f>IF($AY$23&lt;=$B$109,$D$109,IF($AY$23&lt;=$B$110,$D$110,IF($AY$23&lt;=$B$111,(($AY$23-$B$110)*$C$111)+$D$111,IF($AY$23&lt;=$B$112,$D$112,0))))/12</f>
        <v>0</v>
      </c>
      <c r="AW25" s="76" t="s">
        <v>84</v>
      </c>
      <c r="AX25" s="44"/>
      <c r="AY25" s="43"/>
      <c r="AZ25" s="43"/>
      <c r="BA25" s="43"/>
      <c r="BB25" s="43"/>
      <c r="BC25" s="43"/>
    </row>
    <row r="26" spans="1:55" ht="13.5" thickBot="1">
      <c r="A26" s="57" t="s">
        <v>83</v>
      </c>
      <c r="C26" s="75">
        <f>F23*(2/100)/12</f>
        <v>0</v>
      </c>
      <c r="D26" s="74">
        <v>0.02</v>
      </c>
      <c r="E26" s="44"/>
      <c r="F26" s="43"/>
      <c r="G26" s="43"/>
      <c r="H26" s="43"/>
      <c r="I26" s="43"/>
      <c r="J26" s="43"/>
      <c r="L26" s="73"/>
      <c r="M26" s="72"/>
      <c r="N26" s="72"/>
      <c r="P26" s="57" t="s">
        <v>83</v>
      </c>
      <c r="R26" s="75">
        <f>U23*(2/100)/12</f>
        <v>0</v>
      </c>
      <c r="S26" s="74">
        <v>0.02</v>
      </c>
      <c r="T26" s="44"/>
      <c r="U26" s="43"/>
      <c r="V26" s="43"/>
      <c r="W26" s="43"/>
      <c r="X26" s="43"/>
      <c r="Y26" s="43"/>
      <c r="AA26" s="73"/>
      <c r="AB26" s="72"/>
      <c r="AC26" s="72"/>
      <c r="AE26" s="57" t="s">
        <v>83</v>
      </c>
      <c r="AG26" s="75">
        <v>0</v>
      </c>
      <c r="AH26" s="76" t="s">
        <v>48</v>
      </c>
      <c r="AI26" s="44"/>
      <c r="AJ26" s="43"/>
      <c r="AK26" s="43"/>
      <c r="AL26" s="43"/>
      <c r="AM26" s="43"/>
      <c r="AN26" s="43"/>
      <c r="AP26" s="73"/>
      <c r="AQ26" s="72"/>
      <c r="AR26" s="72"/>
      <c r="AT26" s="57" t="s">
        <v>83</v>
      </c>
      <c r="AV26" s="75">
        <f>AY23*(2/100)/12</f>
        <v>0</v>
      </c>
      <c r="AW26" s="74">
        <v>0.02</v>
      </c>
      <c r="AX26" s="44"/>
      <c r="AY26" s="43"/>
      <c r="AZ26" s="43"/>
      <c r="BA26" s="43"/>
      <c r="BB26" s="43"/>
      <c r="BC26" s="43"/>
    </row>
    <row r="27" spans="1:55" ht="13.5" thickBot="1">
      <c r="A27" s="48"/>
      <c r="B27" s="47"/>
      <c r="C27" s="71">
        <f>SUM(C24:C26)</f>
        <v>0</v>
      </c>
      <c r="D27" s="45"/>
      <c r="E27" s="44"/>
      <c r="F27" s="43"/>
      <c r="G27" s="43"/>
      <c r="H27" s="42" t="s">
        <v>33</v>
      </c>
      <c r="I27" s="41"/>
      <c r="J27" s="40">
        <f>(J23/12)-C27</f>
        <v>0</v>
      </c>
      <c r="L27" s="73"/>
      <c r="M27" s="72"/>
      <c r="N27" s="72"/>
      <c r="P27" s="48"/>
      <c r="Q27" s="47"/>
      <c r="R27" s="71">
        <f>SUM(R24:R26)</f>
        <v>0</v>
      </c>
      <c r="S27" s="45"/>
      <c r="T27" s="44"/>
      <c r="U27" s="43"/>
      <c r="V27" s="43"/>
      <c r="W27" s="42" t="s">
        <v>33</v>
      </c>
      <c r="X27" s="41"/>
      <c r="Y27" s="40">
        <f>(Y23/12)-R27</f>
        <v>0</v>
      </c>
      <c r="AA27" s="73"/>
      <c r="AB27" s="72"/>
      <c r="AC27" s="72"/>
      <c r="AE27" s="48"/>
      <c r="AF27" s="47"/>
      <c r="AG27" s="71">
        <f>SUM(AG24:AG26)</f>
        <v>0</v>
      </c>
      <c r="AH27" s="45"/>
      <c r="AI27" s="44"/>
      <c r="AJ27" s="43"/>
      <c r="AK27" s="43"/>
      <c r="AL27" s="42" t="s">
        <v>33</v>
      </c>
      <c r="AM27" s="41"/>
      <c r="AN27" s="40" t="e">
        <f>(AN23/12)-AG27</f>
        <v>#REF!</v>
      </c>
      <c r="AP27" s="73"/>
      <c r="AQ27" s="72"/>
      <c r="AR27" s="72"/>
      <c r="AT27" s="48"/>
      <c r="AU27" s="47"/>
      <c r="AV27" s="71">
        <f>SUM(AV24:AV26)</f>
        <v>0</v>
      </c>
      <c r="AW27" s="45"/>
      <c r="AX27" s="44"/>
      <c r="AY27" s="43"/>
      <c r="AZ27" s="43"/>
      <c r="BA27" s="42" t="s">
        <v>33</v>
      </c>
      <c r="BB27" s="41"/>
      <c r="BC27" s="40">
        <f>(BC23/12)-AV27</f>
        <v>0</v>
      </c>
    </row>
    <row r="28" spans="1:55">
      <c r="A28" s="46"/>
      <c r="B28" s="46"/>
      <c r="C28" s="46"/>
      <c r="E28" s="46"/>
      <c r="F28" s="46"/>
      <c r="G28" s="46"/>
      <c r="H28" s="46"/>
      <c r="I28" s="46"/>
      <c r="J28" s="46"/>
      <c r="L28" s="73"/>
      <c r="M28" s="72"/>
      <c r="N28" s="72"/>
      <c r="P28" s="46"/>
      <c r="Q28" s="46"/>
      <c r="R28" s="46"/>
      <c r="T28" s="46"/>
      <c r="U28" s="46"/>
      <c r="V28" s="46"/>
      <c r="W28" s="46"/>
      <c r="X28" s="46"/>
      <c r="Y28" s="46"/>
      <c r="AA28" s="73"/>
      <c r="AB28" s="72"/>
      <c r="AC28" s="72"/>
      <c r="AE28" s="46"/>
      <c r="AF28" s="46"/>
      <c r="AG28" s="46"/>
      <c r="AI28" s="46"/>
      <c r="AJ28" s="46"/>
      <c r="AK28" s="46"/>
      <c r="AL28" s="46"/>
      <c r="AM28" s="46"/>
      <c r="AN28" s="46"/>
      <c r="AP28" s="73"/>
      <c r="AQ28" s="72"/>
      <c r="AR28" s="72"/>
      <c r="AT28" s="46"/>
      <c r="AU28" s="46"/>
      <c r="AV28" s="46"/>
      <c r="AX28" s="46"/>
      <c r="AY28" s="46"/>
      <c r="AZ28" s="46"/>
      <c r="BA28" s="46"/>
      <c r="BB28" s="46"/>
      <c r="BC28" s="46"/>
    </row>
    <row r="29" spans="1:55">
      <c r="A29" s="90" t="s">
        <v>89</v>
      </c>
      <c r="B29" s="90"/>
      <c r="C29" s="90"/>
      <c r="D29" s="90"/>
      <c r="E29" s="90"/>
      <c r="F29" s="90"/>
      <c r="G29" s="90"/>
      <c r="H29" s="91"/>
      <c r="I29" s="91"/>
      <c r="J29" s="91"/>
      <c r="L29" s="73"/>
      <c r="M29" s="72"/>
      <c r="N29" s="72"/>
      <c r="P29" s="90" t="s">
        <v>89</v>
      </c>
      <c r="Q29" s="90"/>
      <c r="R29" s="90"/>
      <c r="S29" s="90"/>
      <c r="T29" s="90"/>
      <c r="U29" s="90"/>
      <c r="V29" s="90"/>
      <c r="W29" s="91"/>
      <c r="X29" s="91"/>
      <c r="Y29" s="91"/>
      <c r="AA29" s="73"/>
      <c r="AB29" s="72"/>
      <c r="AC29" s="72"/>
      <c r="AE29" s="90" t="s">
        <v>89</v>
      </c>
      <c r="AF29" s="90"/>
      <c r="AG29" s="90"/>
      <c r="AH29" s="90"/>
      <c r="AI29" s="90"/>
      <c r="AJ29" s="90"/>
      <c r="AK29" s="90"/>
      <c r="AL29" s="91"/>
      <c r="AM29" s="91"/>
      <c r="AN29" s="91"/>
      <c r="AP29" s="73"/>
      <c r="AQ29" s="72"/>
      <c r="AR29" s="72"/>
      <c r="AT29" s="90" t="s">
        <v>89</v>
      </c>
      <c r="AU29" s="90"/>
      <c r="AV29" s="90"/>
      <c r="AW29" s="90"/>
      <c r="AX29" s="90"/>
      <c r="AY29" s="90"/>
      <c r="AZ29" s="90"/>
      <c r="BA29" s="91"/>
      <c r="BB29" s="91"/>
      <c r="BC29" s="91"/>
    </row>
    <row r="30" spans="1:55" ht="13.5" thickBot="1">
      <c r="A30" s="57" t="s">
        <v>64</v>
      </c>
      <c r="B30" s="57"/>
      <c r="C30" s="46"/>
      <c r="D30" s="57" t="s">
        <v>63</v>
      </c>
      <c r="E30" s="46"/>
      <c r="F30" s="56" t="s">
        <v>62</v>
      </c>
      <c r="G30" s="56"/>
      <c r="H30" s="56" t="s">
        <v>61</v>
      </c>
      <c r="I30" s="56"/>
      <c r="J30" s="56" t="s">
        <v>60</v>
      </c>
      <c r="L30" s="73"/>
      <c r="M30" s="72"/>
      <c r="N30" s="72"/>
      <c r="P30" s="57" t="s">
        <v>64</v>
      </c>
      <c r="Q30" s="57"/>
      <c r="R30" s="46"/>
      <c r="S30" s="57" t="s">
        <v>63</v>
      </c>
      <c r="T30" s="46"/>
      <c r="U30" s="56" t="s">
        <v>62</v>
      </c>
      <c r="V30" s="56"/>
      <c r="W30" s="56" t="s">
        <v>61</v>
      </c>
      <c r="X30" s="56"/>
      <c r="Y30" s="56" t="s">
        <v>60</v>
      </c>
      <c r="AA30" s="73"/>
      <c r="AB30" s="72"/>
      <c r="AC30" s="72"/>
      <c r="AE30" s="57" t="s">
        <v>64</v>
      </c>
      <c r="AF30" s="57"/>
      <c r="AG30" s="46"/>
      <c r="AH30" s="57" t="s">
        <v>63</v>
      </c>
      <c r="AI30" s="46"/>
      <c r="AJ30" s="56" t="s">
        <v>62</v>
      </c>
      <c r="AK30" s="56"/>
      <c r="AL30" s="56" t="s">
        <v>61</v>
      </c>
      <c r="AM30" s="56"/>
      <c r="AN30" s="56" t="s">
        <v>60</v>
      </c>
      <c r="AP30" s="73"/>
      <c r="AQ30" s="72"/>
      <c r="AR30" s="72"/>
      <c r="AT30" s="57" t="s">
        <v>64</v>
      </c>
      <c r="AU30" s="57"/>
      <c r="AV30" s="46"/>
      <c r="AW30" s="57" t="s">
        <v>63</v>
      </c>
      <c r="AX30" s="46"/>
      <c r="AY30" s="56" t="s">
        <v>62</v>
      </c>
      <c r="AZ30" s="56"/>
      <c r="BA30" s="56" t="s">
        <v>61</v>
      </c>
      <c r="BB30" s="56"/>
      <c r="BC30" s="56" t="s">
        <v>60</v>
      </c>
    </row>
    <row r="31" spans="1:55" ht="13.5" thickBot="1">
      <c r="A31" s="43">
        <f t="shared" ref="A31:D35" si="7">A18</f>
        <v>1</v>
      </c>
      <c r="B31" s="43">
        <f t="shared" si="7"/>
        <v>18200</v>
      </c>
      <c r="C31" s="48">
        <f t="shared" si="7"/>
        <v>18200</v>
      </c>
      <c r="D31" s="69">
        <f t="shared" si="7"/>
        <v>0</v>
      </c>
      <c r="E31" s="44"/>
      <c r="F31" s="50">
        <f>IF('SME Servicing Calculator'!O35&lt;B31,'SME Servicing Calculator'!O35,C31)</f>
        <v>0</v>
      </c>
      <c r="G31" s="50">
        <f>F31</f>
        <v>0</v>
      </c>
      <c r="H31" s="50">
        <f>F31*D31</f>
        <v>0</v>
      </c>
      <c r="I31" s="51"/>
      <c r="J31" s="50">
        <f>F31-H31</f>
        <v>0</v>
      </c>
      <c r="L31" s="73"/>
      <c r="M31" s="72"/>
      <c r="N31" s="72"/>
      <c r="P31" s="43">
        <f t="shared" ref="P31:S35" si="8">A31</f>
        <v>1</v>
      </c>
      <c r="Q31" s="43">
        <f t="shared" si="8"/>
        <v>18200</v>
      </c>
      <c r="R31" s="43">
        <f t="shared" si="8"/>
        <v>18200</v>
      </c>
      <c r="S31" s="78">
        <f t="shared" si="8"/>
        <v>0</v>
      </c>
      <c r="T31" s="44"/>
      <c r="U31" s="50">
        <f>IF('SMSF Servicing Calculator'!N69&lt;Q31,'SMSF Servicing Calculator'!N69,R31)</f>
        <v>0</v>
      </c>
      <c r="V31" s="50">
        <f>U31</f>
        <v>0</v>
      </c>
      <c r="W31" s="50">
        <f>U31*S31</f>
        <v>0</v>
      </c>
      <c r="X31" s="51"/>
      <c r="Y31" s="50">
        <f>U31-W31</f>
        <v>0</v>
      </c>
      <c r="AA31" s="73"/>
      <c r="AB31" s="72"/>
      <c r="AC31" s="72"/>
      <c r="AE31" s="43">
        <f t="shared" ref="AE31:AH35" si="9">AE18</f>
        <v>1</v>
      </c>
      <c r="AF31" s="43">
        <f t="shared" si="9"/>
        <v>18200</v>
      </c>
      <c r="AG31" s="48">
        <f t="shared" si="9"/>
        <v>18200</v>
      </c>
      <c r="AH31" s="69">
        <f t="shared" si="9"/>
        <v>0</v>
      </c>
      <c r="AI31" s="44"/>
      <c r="AJ31" s="50" t="e">
        <f>IF(#REF!&lt;AF31,#REF!,AG31)</f>
        <v>#REF!</v>
      </c>
      <c r="AK31" s="50" t="e">
        <f>AJ31</f>
        <v>#REF!</v>
      </c>
      <c r="AL31" s="50" t="e">
        <f>AJ31*AH31</f>
        <v>#REF!</v>
      </c>
      <c r="AM31" s="51"/>
      <c r="AN31" s="50" t="e">
        <f>AJ31-AL31</f>
        <v>#REF!</v>
      </c>
      <c r="AP31" s="73"/>
      <c r="AQ31" s="72"/>
      <c r="AR31" s="72"/>
      <c r="AT31" s="43">
        <f t="shared" ref="AT31:AW35" si="10">AT5</f>
        <v>1</v>
      </c>
      <c r="AU31" s="43">
        <f t="shared" si="10"/>
        <v>18200</v>
      </c>
      <c r="AV31" s="43">
        <f t="shared" si="10"/>
        <v>18200</v>
      </c>
      <c r="AW31" s="78">
        <f t="shared" si="10"/>
        <v>0</v>
      </c>
      <c r="AX31" s="44"/>
      <c r="AY31" s="50">
        <v>0</v>
      </c>
      <c r="AZ31" s="50">
        <f>AY31</f>
        <v>0</v>
      </c>
      <c r="BA31" s="50">
        <f>AY31*AW31</f>
        <v>0</v>
      </c>
      <c r="BB31" s="51"/>
      <c r="BC31" s="50">
        <f>AY31-BA31</f>
        <v>0</v>
      </c>
    </row>
    <row r="32" spans="1:55" ht="13.5" thickBot="1">
      <c r="A32" s="43">
        <f t="shared" si="7"/>
        <v>18201</v>
      </c>
      <c r="B32" s="43">
        <f t="shared" si="7"/>
        <v>45000</v>
      </c>
      <c r="C32" s="48">
        <f t="shared" si="7"/>
        <v>26800</v>
      </c>
      <c r="D32" s="69">
        <f t="shared" si="7"/>
        <v>0.16</v>
      </c>
      <c r="E32" s="44"/>
      <c r="F32" s="50">
        <f>IF(G31='SME Servicing Calculator'!O35,0,IF(('SME Servicing Calculator'!O35-G31)&gt;C32,C32,('SME Servicing Calculator'!O35-G31)))</f>
        <v>0</v>
      </c>
      <c r="G32" s="50">
        <f>G31+F32</f>
        <v>0</v>
      </c>
      <c r="H32" s="50">
        <f>F32*D32</f>
        <v>0</v>
      </c>
      <c r="I32" s="51"/>
      <c r="J32" s="50">
        <f>F32-H32</f>
        <v>0</v>
      </c>
      <c r="L32" s="73"/>
      <c r="M32" s="72"/>
      <c r="N32" s="72"/>
      <c r="P32" s="43">
        <f t="shared" si="8"/>
        <v>18201</v>
      </c>
      <c r="Q32" s="43">
        <f t="shared" si="8"/>
        <v>45000</v>
      </c>
      <c r="R32" s="43">
        <f t="shared" si="8"/>
        <v>26800</v>
      </c>
      <c r="S32" s="78">
        <f t="shared" si="8"/>
        <v>0.16</v>
      </c>
      <c r="T32" s="44"/>
      <c r="U32" s="50">
        <f>IF(V31='SMSF Servicing Calculator'!$N$69,0,IF(('SMSF Servicing Calculator'!$N$69-V31)&gt;R32,R32,('SMSF Servicing Calculator'!$N$69-V31)))</f>
        <v>0</v>
      </c>
      <c r="V32" s="50">
        <f>V31+U32</f>
        <v>0</v>
      </c>
      <c r="W32" s="50">
        <f>U32*S32</f>
        <v>0</v>
      </c>
      <c r="X32" s="51"/>
      <c r="Y32" s="50">
        <f>U32-W32</f>
        <v>0</v>
      </c>
      <c r="AA32" s="73"/>
      <c r="AB32" s="72"/>
      <c r="AC32" s="72"/>
      <c r="AE32" s="43">
        <f t="shared" si="9"/>
        <v>18201</v>
      </c>
      <c r="AF32" s="43">
        <f t="shared" si="9"/>
        <v>45000</v>
      </c>
      <c r="AG32" s="48">
        <f t="shared" si="9"/>
        <v>26800</v>
      </c>
      <c r="AH32" s="69">
        <f t="shared" si="9"/>
        <v>0.16</v>
      </c>
      <c r="AI32" s="44"/>
      <c r="AJ32" s="50" t="e">
        <f>IF(AK31=#REF!,0,IF((#REF!-AK31)&gt;AG32,AG32,(#REF!-AK31)))</f>
        <v>#REF!</v>
      </c>
      <c r="AK32" s="50" t="e">
        <f>AK31+AJ32</f>
        <v>#REF!</v>
      </c>
      <c r="AL32" s="50" t="e">
        <f>AJ32*AH32</f>
        <v>#REF!</v>
      </c>
      <c r="AM32" s="51"/>
      <c r="AN32" s="50" t="e">
        <f>AJ32-AL32</f>
        <v>#REF!</v>
      </c>
      <c r="AP32" s="73"/>
      <c r="AQ32" s="72"/>
      <c r="AR32" s="72"/>
      <c r="AT32" s="43">
        <f t="shared" si="10"/>
        <v>18201</v>
      </c>
      <c r="AU32" s="43">
        <f t="shared" si="10"/>
        <v>45000</v>
      </c>
      <c r="AV32" s="43">
        <f t="shared" si="10"/>
        <v>26800</v>
      </c>
      <c r="AW32" s="78">
        <f t="shared" si="10"/>
        <v>0.16</v>
      </c>
      <c r="AX32" s="44"/>
      <c r="AY32" s="50">
        <v>0</v>
      </c>
      <c r="AZ32" s="50">
        <f>AZ31+AY32</f>
        <v>0</v>
      </c>
      <c r="BA32" s="50">
        <f>AY32*AW32</f>
        <v>0</v>
      </c>
      <c r="BB32" s="51"/>
      <c r="BC32" s="50">
        <f>AY32-BA32</f>
        <v>0</v>
      </c>
    </row>
    <row r="33" spans="1:55" ht="13.5" thickBot="1">
      <c r="A33" s="43">
        <f t="shared" si="7"/>
        <v>45001</v>
      </c>
      <c r="B33" s="43">
        <f t="shared" si="7"/>
        <v>135000</v>
      </c>
      <c r="C33" s="48">
        <f t="shared" si="7"/>
        <v>90000</v>
      </c>
      <c r="D33" s="69">
        <f t="shared" si="7"/>
        <v>0.3</v>
      </c>
      <c r="E33" s="44"/>
      <c r="F33" s="50">
        <f>IF(G32='SME Servicing Calculator'!O35,0,IF(('SME Servicing Calculator'!O35-G32)&gt;C33,C33,('SME Servicing Calculator'!O35-G32)))</f>
        <v>0</v>
      </c>
      <c r="G33" s="50">
        <f>G32+F33</f>
        <v>0</v>
      </c>
      <c r="H33" s="50">
        <f>F33*D33</f>
        <v>0</v>
      </c>
      <c r="I33" s="51"/>
      <c r="J33" s="50">
        <f>F33-H33</f>
        <v>0</v>
      </c>
      <c r="L33" s="79"/>
      <c r="M33" s="72"/>
      <c r="N33" s="72"/>
      <c r="P33" s="43">
        <f t="shared" si="8"/>
        <v>45001</v>
      </c>
      <c r="Q33" s="43">
        <f t="shared" si="8"/>
        <v>135000</v>
      </c>
      <c r="R33" s="43">
        <f t="shared" si="8"/>
        <v>90000</v>
      </c>
      <c r="S33" s="78">
        <f t="shared" si="8"/>
        <v>0.3</v>
      </c>
      <c r="T33" s="44"/>
      <c r="U33" s="50">
        <f>IF(V32='SMSF Servicing Calculator'!$N$69,0,IF(('SMSF Servicing Calculator'!$N$69-V32)&gt;R33,R33,('SMSF Servicing Calculator'!$N$69-V32)))</f>
        <v>0</v>
      </c>
      <c r="V33" s="50">
        <f>V32+U33</f>
        <v>0</v>
      </c>
      <c r="W33" s="50">
        <f>U33*S33</f>
        <v>0</v>
      </c>
      <c r="X33" s="51"/>
      <c r="Y33" s="50">
        <f>U33-W33</f>
        <v>0</v>
      </c>
      <c r="AA33" s="79">
        <f>IF(U33&gt;13000,(U33-13000)*0.5%,0)</f>
        <v>0</v>
      </c>
      <c r="AB33" s="72"/>
      <c r="AC33" s="72"/>
      <c r="AE33" s="43">
        <f t="shared" si="9"/>
        <v>45001</v>
      </c>
      <c r="AF33" s="43">
        <f t="shared" si="9"/>
        <v>135000</v>
      </c>
      <c r="AG33" s="48">
        <f t="shared" si="9"/>
        <v>90000</v>
      </c>
      <c r="AH33" s="69">
        <f t="shared" si="9"/>
        <v>0.3</v>
      </c>
      <c r="AI33" s="44"/>
      <c r="AJ33" s="50" t="e">
        <f>IF(AK32=#REF!,0,IF((#REF!-AK32)&gt;AG33,AG33,(#REF!-AK32)))</f>
        <v>#REF!</v>
      </c>
      <c r="AK33" s="50" t="e">
        <f>AK32+AJ33</f>
        <v>#REF!</v>
      </c>
      <c r="AL33" s="50" t="e">
        <f>AJ33*AH33</f>
        <v>#REF!</v>
      </c>
      <c r="AM33" s="51"/>
      <c r="AN33" s="50" t="e">
        <f>AJ33-AL33</f>
        <v>#REF!</v>
      </c>
      <c r="AP33" s="79" t="e">
        <f>IF(AJ33&gt;13000,(AJ33-13000)*0.5%,0)</f>
        <v>#REF!</v>
      </c>
      <c r="AQ33" s="72"/>
      <c r="AR33" s="72"/>
      <c r="AT33" s="43">
        <f t="shared" si="10"/>
        <v>45001</v>
      </c>
      <c r="AU33" s="43">
        <f t="shared" si="10"/>
        <v>135000</v>
      </c>
      <c r="AV33" s="43">
        <f t="shared" si="10"/>
        <v>90000</v>
      </c>
      <c r="AW33" s="78">
        <f t="shared" si="10"/>
        <v>0.3</v>
      </c>
      <c r="AX33" s="44"/>
      <c r="AY33" s="50">
        <v>0</v>
      </c>
      <c r="AZ33" s="50">
        <f>AZ32+AY33</f>
        <v>0</v>
      </c>
      <c r="BA33" s="50">
        <f>AY33*AW33</f>
        <v>0</v>
      </c>
      <c r="BB33" s="51"/>
      <c r="BC33" s="50">
        <f>AY33-BA33</f>
        <v>0</v>
      </c>
    </row>
    <row r="34" spans="1:55" ht="13.5" thickBot="1">
      <c r="A34" s="43">
        <f t="shared" si="7"/>
        <v>135001</v>
      </c>
      <c r="B34" s="43">
        <f t="shared" si="7"/>
        <v>190001</v>
      </c>
      <c r="C34" s="48">
        <f t="shared" si="7"/>
        <v>55001</v>
      </c>
      <c r="D34" s="69">
        <f t="shared" si="7"/>
        <v>0.37</v>
      </c>
      <c r="E34" s="44"/>
      <c r="F34" s="50">
        <f>IF(G33='SME Servicing Calculator'!O35,0,IF(('SME Servicing Calculator'!O35-G33)&gt;C34,C34,('SME Servicing Calculator'!O35-G33)))</f>
        <v>0</v>
      </c>
      <c r="G34" s="50">
        <f>G33+F34</f>
        <v>0</v>
      </c>
      <c r="H34" s="50">
        <f>F34*D34</f>
        <v>0</v>
      </c>
      <c r="I34" s="51"/>
      <c r="J34" s="50">
        <f>F34-H34</f>
        <v>0</v>
      </c>
      <c r="L34" s="73"/>
      <c r="M34" s="79"/>
      <c r="N34" s="80"/>
      <c r="P34" s="43">
        <f t="shared" si="8"/>
        <v>135001</v>
      </c>
      <c r="Q34" s="43">
        <f t="shared" si="8"/>
        <v>190001</v>
      </c>
      <c r="R34" s="43">
        <f t="shared" si="8"/>
        <v>55001</v>
      </c>
      <c r="S34" s="78">
        <f t="shared" si="8"/>
        <v>0.37</v>
      </c>
      <c r="T34" s="44"/>
      <c r="U34" s="50">
        <f>IF(V33='SMSF Servicing Calculator'!$N$69,0,IF(('SMSF Servicing Calculator'!$N$69-V33)&gt;R34,R34,('SMSF Servicing Calculator'!$N$69-V33)))</f>
        <v>0</v>
      </c>
      <c r="V34" s="50">
        <f>V33+U34</f>
        <v>0</v>
      </c>
      <c r="W34" s="50">
        <f>U34*S34</f>
        <v>0</v>
      </c>
      <c r="X34" s="51"/>
      <c r="Y34" s="50">
        <f>U34-W34</f>
        <v>0</v>
      </c>
      <c r="AA34" s="73">
        <f>SUM(AB34:AC34)</f>
        <v>0</v>
      </c>
      <c r="AB34" s="79">
        <f>IF(U34&lt;=20000,U34*0.5%,0)</f>
        <v>0</v>
      </c>
      <c r="AC34" s="80">
        <f>IF(U34&gt;20000,((U34-20000)*1%)+100,0)</f>
        <v>0</v>
      </c>
      <c r="AE34" s="43">
        <f t="shared" si="9"/>
        <v>135001</v>
      </c>
      <c r="AF34" s="43">
        <f t="shared" si="9"/>
        <v>190001</v>
      </c>
      <c r="AG34" s="48">
        <f t="shared" si="9"/>
        <v>55001</v>
      </c>
      <c r="AH34" s="69">
        <f t="shared" si="9"/>
        <v>0.37</v>
      </c>
      <c r="AI34" s="44"/>
      <c r="AJ34" s="50" t="e">
        <f>IF(AK33=#REF!,0,IF((#REF!-AK33)&gt;AG34,AG34,(#REF!-AK33)))</f>
        <v>#REF!</v>
      </c>
      <c r="AK34" s="50" t="e">
        <f>AK33+AJ34</f>
        <v>#REF!</v>
      </c>
      <c r="AL34" s="50" t="e">
        <f>AJ34*AH34</f>
        <v>#REF!</v>
      </c>
      <c r="AM34" s="51"/>
      <c r="AN34" s="50" t="e">
        <f>AJ34-AL34</f>
        <v>#REF!</v>
      </c>
      <c r="AP34" s="73" t="e">
        <f>SUM(AQ34:AR34)</f>
        <v>#REF!</v>
      </c>
      <c r="AQ34" s="79" t="e">
        <f>IF(AJ34&lt;=20000,AJ34*0.5%,0)</f>
        <v>#REF!</v>
      </c>
      <c r="AR34" s="80" t="e">
        <f>IF(AJ34&gt;20000,((AJ34-20000)*1%)+100,0)</f>
        <v>#REF!</v>
      </c>
      <c r="AT34" s="43">
        <f t="shared" si="10"/>
        <v>135001</v>
      </c>
      <c r="AU34" s="43">
        <f t="shared" si="10"/>
        <v>190001</v>
      </c>
      <c r="AV34" s="43">
        <f t="shared" si="10"/>
        <v>55001</v>
      </c>
      <c r="AW34" s="78">
        <f t="shared" si="10"/>
        <v>0.37</v>
      </c>
      <c r="AX34" s="44"/>
      <c r="AY34" s="50">
        <v>0</v>
      </c>
      <c r="AZ34" s="50">
        <f>AZ33+AY34</f>
        <v>0</v>
      </c>
      <c r="BA34" s="50">
        <f>AY34*AW34</f>
        <v>0</v>
      </c>
      <c r="BB34" s="51"/>
      <c r="BC34" s="50">
        <f>AY34-BA34</f>
        <v>0</v>
      </c>
    </row>
    <row r="35" spans="1:55" ht="13.5" thickBot="1">
      <c r="A35" s="43">
        <f t="shared" si="7"/>
        <v>190001</v>
      </c>
      <c r="B35" s="43">
        <f t="shared" si="7"/>
        <v>100000000</v>
      </c>
      <c r="C35" s="48">
        <f t="shared" si="7"/>
        <v>99810000</v>
      </c>
      <c r="D35" s="69">
        <f t="shared" si="7"/>
        <v>0.45</v>
      </c>
      <c r="E35" s="44"/>
      <c r="F35" s="50">
        <f>IF('SME Servicing Calculator'!O35-G34&lt;=0,0,('SME Servicing Calculator'!O35-G34))</f>
        <v>0</v>
      </c>
      <c r="G35" s="50">
        <f>G34+F35</f>
        <v>0</v>
      </c>
      <c r="H35" s="50">
        <f>F35*D35</f>
        <v>0</v>
      </c>
      <c r="I35" s="51"/>
      <c r="J35" s="50">
        <f>F35-H35</f>
        <v>0</v>
      </c>
      <c r="L35" s="79"/>
      <c r="M35" s="72"/>
      <c r="N35" s="72"/>
      <c r="P35" s="43">
        <f t="shared" si="8"/>
        <v>190001</v>
      </c>
      <c r="Q35" s="43">
        <f t="shared" si="8"/>
        <v>100000000</v>
      </c>
      <c r="R35" s="43">
        <f t="shared" si="8"/>
        <v>99810000</v>
      </c>
      <c r="S35" s="78">
        <f t="shared" si="8"/>
        <v>0.45</v>
      </c>
      <c r="T35" s="44"/>
      <c r="U35" s="50">
        <f>IF(V34='SMSF Servicing Calculator'!$N$69,0,IF(('SMSF Servicing Calculator'!$N$69-V34)&gt;R35,R35,('SMSF Servicing Calculator'!$N$69-V34)))</f>
        <v>0</v>
      </c>
      <c r="V35" s="50">
        <f>V34+U35</f>
        <v>0</v>
      </c>
      <c r="W35" s="50">
        <f>U35*S35</f>
        <v>0</v>
      </c>
      <c r="X35" s="51"/>
      <c r="Y35" s="50">
        <f>U35-W35</f>
        <v>0</v>
      </c>
      <c r="AA35" s="79">
        <f>U35*1%</f>
        <v>0</v>
      </c>
      <c r="AB35" s="72"/>
      <c r="AC35" s="72"/>
      <c r="AE35" s="43">
        <f t="shared" si="9"/>
        <v>190001</v>
      </c>
      <c r="AF35" s="43">
        <f t="shared" si="9"/>
        <v>100000000</v>
      </c>
      <c r="AG35" s="48">
        <f t="shared" si="9"/>
        <v>99810000</v>
      </c>
      <c r="AH35" s="69">
        <f t="shared" si="9"/>
        <v>0.45</v>
      </c>
      <c r="AI35" s="44"/>
      <c r="AJ35" s="50" t="e">
        <f>IF(#REF!-AK34&lt;=0,0,(#REF!-AK34))</f>
        <v>#REF!</v>
      </c>
      <c r="AK35" s="50" t="e">
        <f>AK34+AJ35</f>
        <v>#REF!</v>
      </c>
      <c r="AL35" s="50" t="e">
        <f>AJ35*AH35</f>
        <v>#REF!</v>
      </c>
      <c r="AM35" s="51"/>
      <c r="AN35" s="50" t="e">
        <f>AJ35-AL35</f>
        <v>#REF!</v>
      </c>
      <c r="AP35" s="79" t="e">
        <f>AJ35*1%</f>
        <v>#REF!</v>
      </c>
      <c r="AQ35" s="72"/>
      <c r="AR35" s="72"/>
      <c r="AT35" s="43">
        <f t="shared" si="10"/>
        <v>190001</v>
      </c>
      <c r="AU35" s="43">
        <f t="shared" si="10"/>
        <v>100000000</v>
      </c>
      <c r="AV35" s="43">
        <f t="shared" si="10"/>
        <v>99810000</v>
      </c>
      <c r="AW35" s="78">
        <f t="shared" si="10"/>
        <v>0.45</v>
      </c>
      <c r="AX35" s="44"/>
      <c r="AY35" s="50">
        <v>0</v>
      </c>
      <c r="AZ35" s="50">
        <f>AZ34+AY35</f>
        <v>0</v>
      </c>
      <c r="BA35" s="50">
        <f>AY35*AW35</f>
        <v>0</v>
      </c>
      <c r="BB35" s="51"/>
      <c r="BC35" s="50">
        <f>AY35-BA35</f>
        <v>0</v>
      </c>
    </row>
    <row r="36" spans="1:55" ht="13.5" thickBot="1">
      <c r="A36" s="48"/>
      <c r="B36" s="48"/>
      <c r="C36" s="46"/>
      <c r="D36" s="52" t="s">
        <v>59</v>
      </c>
      <c r="E36" s="44"/>
      <c r="F36" s="50">
        <f>SUM(F31:F35)</f>
        <v>0</v>
      </c>
      <c r="G36" s="50"/>
      <c r="H36" s="50">
        <f>SUM(H31:H35)</f>
        <v>0</v>
      </c>
      <c r="I36" s="51"/>
      <c r="J36" s="50">
        <f>SUM(J31:J35)</f>
        <v>0</v>
      </c>
      <c r="L36" s="77"/>
      <c r="M36" s="72"/>
      <c r="N36" s="72"/>
      <c r="P36" s="48"/>
      <c r="Q36" s="48"/>
      <c r="R36" s="46"/>
      <c r="S36" s="52" t="s">
        <v>59</v>
      </c>
      <c r="T36" s="44"/>
      <c r="U36" s="50">
        <f>SUM(U31:U35)</f>
        <v>0</v>
      </c>
      <c r="V36" s="50"/>
      <c r="W36" s="50">
        <f>SUM(W31:W35)</f>
        <v>0</v>
      </c>
      <c r="X36" s="51"/>
      <c r="Y36" s="50">
        <f>SUM(Y31:Y35)</f>
        <v>0</v>
      </c>
      <c r="AA36" s="77">
        <f>SUM(AA33:AA35)</f>
        <v>0</v>
      </c>
      <c r="AB36" s="72"/>
      <c r="AC36" s="72"/>
      <c r="AE36" s="48"/>
      <c r="AF36" s="48"/>
      <c r="AG36" s="46"/>
      <c r="AH36" s="52" t="s">
        <v>59</v>
      </c>
      <c r="AI36" s="44"/>
      <c r="AJ36" s="50" t="e">
        <f>SUM(AJ31:AJ35)</f>
        <v>#REF!</v>
      </c>
      <c r="AK36" s="50"/>
      <c r="AL36" s="50" t="e">
        <f>SUM(AL31:AL35)</f>
        <v>#REF!</v>
      </c>
      <c r="AM36" s="51"/>
      <c r="AN36" s="50" t="e">
        <f>SUM(AN31:AN35)</f>
        <v>#REF!</v>
      </c>
      <c r="AP36" s="77" t="e">
        <f>SUM(AP33:AP35)</f>
        <v>#REF!</v>
      </c>
      <c r="AQ36" s="72"/>
      <c r="AR36" s="72"/>
      <c r="AT36" s="48"/>
      <c r="AU36" s="48"/>
      <c r="AV36" s="46"/>
      <c r="AW36" s="52" t="s">
        <v>59</v>
      </c>
      <c r="AX36" s="44"/>
      <c r="AY36" s="50">
        <f>SUM(AY31:AY35)</f>
        <v>0</v>
      </c>
      <c r="AZ36" s="50"/>
      <c r="BA36" s="50">
        <f>SUM(BA31:BA35)</f>
        <v>0</v>
      </c>
      <c r="BB36" s="51"/>
      <c r="BC36" s="50">
        <f>SUM(BC31:BC35)</f>
        <v>0</v>
      </c>
    </row>
    <row r="37" spans="1:55">
      <c r="A37" s="65" t="s">
        <v>86</v>
      </c>
      <c r="C37" s="75">
        <v>0</v>
      </c>
      <c r="D37" s="76" t="s">
        <v>84</v>
      </c>
      <c r="E37" s="44"/>
      <c r="F37" s="43"/>
      <c r="G37" s="43"/>
      <c r="H37" s="43"/>
      <c r="I37" s="43"/>
      <c r="J37" s="43"/>
      <c r="L37" s="73"/>
      <c r="M37" s="72"/>
      <c r="N37" s="72"/>
      <c r="P37" s="65" t="s">
        <v>86</v>
      </c>
      <c r="R37" s="75">
        <v>0</v>
      </c>
      <c r="S37" s="76" t="s">
        <v>84</v>
      </c>
      <c r="T37" s="44"/>
      <c r="U37" s="43"/>
      <c r="V37" s="43"/>
      <c r="W37" s="43"/>
      <c r="X37" s="43"/>
      <c r="Y37" s="43"/>
      <c r="AA37" s="73"/>
      <c r="AB37" s="72"/>
      <c r="AC37" s="72"/>
      <c r="AE37" s="65" t="s">
        <v>87</v>
      </c>
      <c r="AG37" s="75">
        <v>0</v>
      </c>
      <c r="AH37" s="76" t="s">
        <v>48</v>
      </c>
      <c r="AI37" s="44"/>
      <c r="AJ37" s="43"/>
      <c r="AK37" s="43"/>
      <c r="AL37" s="43"/>
      <c r="AM37" s="43"/>
      <c r="AN37" s="43"/>
      <c r="AP37" s="73"/>
      <c r="AQ37" s="72"/>
      <c r="AR37" s="72"/>
      <c r="AT37" s="65" t="s">
        <v>86</v>
      </c>
      <c r="AV37" s="75">
        <f>IF($AY$36&lt;=$B$97,$D$97,(IF($AY$36&lt;=$B$98,$D$98,IF($AY$36&lt;=$B$99,(($AY$36-$B$98)*$C$99)+$D$99,IF($AY$36&lt;=$B$100,$D$100,IF($AY$36&lt;=$B$101,(($AY$36-$B$100)*$C$101)+$D$101,IF($AY$36&lt;=$B$102,$D$102,0)))))))/12</f>
        <v>0</v>
      </c>
      <c r="AW37" s="76" t="s">
        <v>84</v>
      </c>
      <c r="AX37" s="44"/>
      <c r="AY37" s="43"/>
      <c r="AZ37" s="43"/>
      <c r="BA37" s="43"/>
      <c r="BB37" s="43"/>
      <c r="BC37" s="43"/>
    </row>
    <row r="38" spans="1:55">
      <c r="A38" s="65" t="s">
        <v>85</v>
      </c>
      <c r="C38" s="75">
        <v>0</v>
      </c>
      <c r="D38" s="76" t="s">
        <v>84</v>
      </c>
      <c r="E38" s="44"/>
      <c r="F38" s="43"/>
      <c r="G38" s="43"/>
      <c r="H38" s="43"/>
      <c r="I38" s="43"/>
      <c r="J38" s="43"/>
      <c r="L38" s="73"/>
      <c r="M38" s="72"/>
      <c r="N38" s="72"/>
      <c r="P38" s="65" t="s">
        <v>85</v>
      </c>
      <c r="R38" s="75">
        <v>0</v>
      </c>
      <c r="S38" s="76" t="s">
        <v>84</v>
      </c>
      <c r="T38" s="44"/>
      <c r="U38" s="43"/>
      <c r="V38" s="43"/>
      <c r="W38" s="43"/>
      <c r="X38" s="43"/>
      <c r="Y38" s="43"/>
      <c r="AA38" s="73"/>
      <c r="AB38" s="72"/>
      <c r="AC38" s="72"/>
      <c r="AE38" s="65"/>
      <c r="AG38" s="75"/>
      <c r="AH38" s="76"/>
      <c r="AI38" s="44"/>
      <c r="AJ38" s="43"/>
      <c r="AK38" s="43"/>
      <c r="AL38" s="43"/>
      <c r="AM38" s="43"/>
      <c r="AN38" s="43"/>
      <c r="AP38" s="73"/>
      <c r="AQ38" s="72"/>
      <c r="AR38" s="72"/>
      <c r="AT38" s="65" t="s">
        <v>85</v>
      </c>
      <c r="AV38" s="75">
        <f>IF($AY$36&lt;=$B$109,$D$109,IF($AY$36&lt;=$B$110,$D$110,IF($AY$36&lt;=$B$111,(($AY$36-$B$110)*$C$111)+$D$111,IF($AY$36&lt;=$B$112,$D$112,0))))/12</f>
        <v>0</v>
      </c>
      <c r="AW38" s="76" t="s">
        <v>84</v>
      </c>
      <c r="AX38" s="44"/>
      <c r="AY38" s="43"/>
      <c r="AZ38" s="43"/>
      <c r="BA38" s="43"/>
      <c r="BB38" s="43"/>
      <c r="BC38" s="43"/>
    </row>
    <row r="39" spans="1:55" ht="13.5" thickBot="1">
      <c r="A39" s="57" t="s">
        <v>83</v>
      </c>
      <c r="C39" s="75">
        <f>F36*(2/100)/12</f>
        <v>0</v>
      </c>
      <c r="D39" s="74">
        <v>0.02</v>
      </c>
      <c r="E39" s="44"/>
      <c r="F39" s="43"/>
      <c r="G39" s="43"/>
      <c r="H39" s="43"/>
      <c r="I39" s="43"/>
      <c r="J39" s="43"/>
      <c r="L39" s="73"/>
      <c r="M39" s="72"/>
      <c r="N39" s="72"/>
      <c r="P39" s="57" t="s">
        <v>83</v>
      </c>
      <c r="R39" s="75">
        <f>U36*(2/100)/12</f>
        <v>0</v>
      </c>
      <c r="S39" s="74">
        <v>0.02</v>
      </c>
      <c r="T39" s="44"/>
      <c r="U39" s="43"/>
      <c r="V39" s="43"/>
      <c r="W39" s="43"/>
      <c r="X39" s="43"/>
      <c r="Y39" s="43"/>
      <c r="AA39" s="73"/>
      <c r="AB39" s="72"/>
      <c r="AC39" s="72"/>
      <c r="AE39" s="57" t="s">
        <v>83</v>
      </c>
      <c r="AG39" s="75">
        <v>0</v>
      </c>
      <c r="AH39" s="76" t="s">
        <v>48</v>
      </c>
      <c r="AI39" s="44"/>
      <c r="AJ39" s="43"/>
      <c r="AK39" s="43"/>
      <c r="AL39" s="43"/>
      <c r="AM39" s="43"/>
      <c r="AN39" s="43"/>
      <c r="AP39" s="73"/>
      <c r="AQ39" s="72"/>
      <c r="AR39" s="72"/>
      <c r="AT39" s="57" t="s">
        <v>83</v>
      </c>
      <c r="AV39" s="75">
        <f>AY36*(2/100)/12</f>
        <v>0</v>
      </c>
      <c r="AW39" s="74">
        <v>0.02</v>
      </c>
      <c r="AX39" s="44"/>
      <c r="AY39" s="43"/>
      <c r="AZ39" s="43"/>
      <c r="BA39" s="43"/>
      <c r="BB39" s="43"/>
      <c r="BC39" s="43"/>
    </row>
    <row r="40" spans="1:55" ht="13.5" thickBot="1">
      <c r="A40" s="48"/>
      <c r="B40" s="47"/>
      <c r="C40" s="71">
        <f>SUM(C37:C39)</f>
        <v>0</v>
      </c>
      <c r="D40" s="45"/>
      <c r="E40" s="44"/>
      <c r="F40" s="43"/>
      <c r="G40" s="43"/>
      <c r="H40" s="42" t="s">
        <v>33</v>
      </c>
      <c r="I40" s="41"/>
      <c r="J40" s="40">
        <f>(J36/12)-C40</f>
        <v>0</v>
      </c>
      <c r="L40" s="73"/>
      <c r="M40" s="72"/>
      <c r="N40" s="72"/>
      <c r="P40" s="48"/>
      <c r="Q40" s="47"/>
      <c r="R40" s="71">
        <f>SUM(R37:R39)</f>
        <v>0</v>
      </c>
      <c r="S40" s="45"/>
      <c r="T40" s="44"/>
      <c r="U40" s="43"/>
      <c r="V40" s="43"/>
      <c r="W40" s="42" t="s">
        <v>33</v>
      </c>
      <c r="X40" s="41"/>
      <c r="Y40" s="40">
        <f>(Y36/12)-R40</f>
        <v>0</v>
      </c>
      <c r="AA40" s="73"/>
      <c r="AB40" s="72"/>
      <c r="AC40" s="72"/>
      <c r="AE40" s="48"/>
      <c r="AF40" s="47"/>
      <c r="AG40" s="71">
        <f>SUM(AG37:AG39)</f>
        <v>0</v>
      </c>
      <c r="AH40" s="45"/>
      <c r="AI40" s="44"/>
      <c r="AJ40" s="43"/>
      <c r="AK40" s="43"/>
      <c r="AL40" s="42" t="s">
        <v>33</v>
      </c>
      <c r="AM40" s="41"/>
      <c r="AN40" s="40" t="e">
        <f>(AN36/12)-AG40</f>
        <v>#REF!</v>
      </c>
      <c r="AP40" s="73"/>
      <c r="AQ40" s="72"/>
      <c r="AR40" s="72"/>
      <c r="AT40" s="48"/>
      <c r="AU40" s="47"/>
      <c r="AV40" s="71">
        <f>SUM(AV37:AV39)</f>
        <v>0</v>
      </c>
      <c r="AW40" s="45"/>
      <c r="AX40" s="44"/>
      <c r="AY40" s="43"/>
      <c r="AZ40" s="43"/>
      <c r="BA40" s="42" t="s">
        <v>33</v>
      </c>
      <c r="BB40" s="41"/>
      <c r="BC40" s="40">
        <f>(BC36/12)-AV40</f>
        <v>0</v>
      </c>
    </row>
    <row r="41" spans="1:55">
      <c r="A41" s="46"/>
      <c r="B41" s="46"/>
      <c r="C41" s="46"/>
      <c r="E41" s="46"/>
      <c r="F41" s="46"/>
      <c r="G41" s="46"/>
      <c r="H41" s="46"/>
      <c r="I41" s="46"/>
      <c r="J41" s="46"/>
      <c r="L41" s="73"/>
      <c r="M41" s="72"/>
      <c r="N41" s="72"/>
      <c r="P41" s="46"/>
      <c r="Q41" s="46"/>
      <c r="R41" s="46"/>
      <c r="T41" s="46"/>
      <c r="U41" s="46"/>
      <c r="V41" s="46"/>
      <c r="W41" s="46"/>
      <c r="X41" s="46"/>
      <c r="Y41" s="46"/>
      <c r="AA41" s="73"/>
      <c r="AB41" s="72"/>
      <c r="AC41" s="72"/>
      <c r="AE41" s="46"/>
      <c r="AF41" s="46"/>
      <c r="AG41" s="46"/>
      <c r="AI41" s="46"/>
      <c r="AJ41" s="46"/>
      <c r="AK41" s="46"/>
      <c r="AL41" s="46"/>
      <c r="AM41" s="46"/>
      <c r="AN41" s="46"/>
      <c r="AP41" s="73"/>
      <c r="AQ41" s="72"/>
      <c r="AR41" s="72"/>
      <c r="AT41" s="46"/>
      <c r="AU41" s="46"/>
      <c r="AV41" s="46"/>
      <c r="AX41" s="46"/>
      <c r="AY41" s="46"/>
      <c r="AZ41" s="46"/>
      <c r="BA41" s="46"/>
      <c r="BB41" s="46"/>
      <c r="BC41" s="46"/>
    </row>
    <row r="42" spans="1:55">
      <c r="A42" s="90" t="s">
        <v>88</v>
      </c>
      <c r="B42" s="90"/>
      <c r="C42" s="90"/>
      <c r="D42" s="90"/>
      <c r="E42" s="90"/>
      <c r="F42" s="90"/>
      <c r="G42" s="90"/>
      <c r="H42" s="91"/>
      <c r="I42" s="91"/>
      <c r="J42" s="91"/>
      <c r="L42" s="73"/>
      <c r="M42" s="72"/>
      <c r="N42" s="72"/>
      <c r="P42" s="90" t="s">
        <v>88</v>
      </c>
      <c r="Q42" s="90"/>
      <c r="R42" s="90"/>
      <c r="S42" s="90"/>
      <c r="T42" s="90"/>
      <c r="U42" s="90"/>
      <c r="V42" s="90"/>
      <c r="W42" s="91"/>
      <c r="X42" s="91"/>
      <c r="Y42" s="91"/>
      <c r="AA42" s="73"/>
      <c r="AB42" s="72"/>
      <c r="AC42" s="72"/>
      <c r="AE42" s="90" t="s">
        <v>88</v>
      </c>
      <c r="AF42" s="90"/>
      <c r="AG42" s="90"/>
      <c r="AH42" s="90"/>
      <c r="AI42" s="90"/>
      <c r="AJ42" s="90"/>
      <c r="AK42" s="90"/>
      <c r="AL42" s="91"/>
      <c r="AM42" s="91"/>
      <c r="AN42" s="91"/>
      <c r="AP42" s="73"/>
      <c r="AQ42" s="72"/>
      <c r="AR42" s="72"/>
      <c r="AT42" s="90" t="s">
        <v>88</v>
      </c>
      <c r="AU42" s="90"/>
      <c r="AV42" s="90"/>
      <c r="AW42" s="90"/>
      <c r="AX42" s="90"/>
      <c r="AY42" s="90"/>
      <c r="AZ42" s="90"/>
      <c r="BA42" s="91"/>
      <c r="BB42" s="91"/>
      <c r="BC42" s="91"/>
    </row>
    <row r="43" spans="1:55" ht="13.5" thickBot="1">
      <c r="A43" s="57" t="s">
        <v>64</v>
      </c>
      <c r="B43" s="57"/>
      <c r="C43" s="46"/>
      <c r="D43" s="57" t="s">
        <v>63</v>
      </c>
      <c r="E43" s="46"/>
      <c r="F43" s="56" t="s">
        <v>62</v>
      </c>
      <c r="G43" s="56"/>
      <c r="H43" s="56" t="s">
        <v>61</v>
      </c>
      <c r="I43" s="56"/>
      <c r="J43" s="56" t="s">
        <v>60</v>
      </c>
      <c r="L43" s="73"/>
      <c r="M43" s="72"/>
      <c r="N43" s="72"/>
      <c r="P43" s="57" t="s">
        <v>64</v>
      </c>
      <c r="Q43" s="57"/>
      <c r="R43" s="46"/>
      <c r="S43" s="57" t="s">
        <v>63</v>
      </c>
      <c r="T43" s="46"/>
      <c r="U43" s="56" t="s">
        <v>62</v>
      </c>
      <c r="V43" s="56"/>
      <c r="W43" s="56" t="s">
        <v>61</v>
      </c>
      <c r="X43" s="56"/>
      <c r="Y43" s="56" t="s">
        <v>60</v>
      </c>
      <c r="AA43" s="73"/>
      <c r="AB43" s="72"/>
      <c r="AC43" s="72"/>
      <c r="AE43" s="57" t="s">
        <v>64</v>
      </c>
      <c r="AF43" s="57"/>
      <c r="AG43" s="46"/>
      <c r="AH43" s="57" t="s">
        <v>63</v>
      </c>
      <c r="AI43" s="46"/>
      <c r="AJ43" s="56" t="s">
        <v>62</v>
      </c>
      <c r="AK43" s="56"/>
      <c r="AL43" s="56" t="s">
        <v>61</v>
      </c>
      <c r="AM43" s="56"/>
      <c r="AN43" s="56" t="s">
        <v>60</v>
      </c>
      <c r="AP43" s="73"/>
      <c r="AQ43" s="72"/>
      <c r="AR43" s="72"/>
      <c r="AT43" s="57" t="s">
        <v>64</v>
      </c>
      <c r="AU43" s="57"/>
      <c r="AV43" s="46"/>
      <c r="AW43" s="57" t="s">
        <v>63</v>
      </c>
      <c r="AX43" s="46"/>
      <c r="AY43" s="56" t="s">
        <v>62</v>
      </c>
      <c r="AZ43" s="56"/>
      <c r="BA43" s="56" t="s">
        <v>61</v>
      </c>
      <c r="BB43" s="56"/>
      <c r="BC43" s="56" t="s">
        <v>60</v>
      </c>
    </row>
    <row r="44" spans="1:55" ht="13.5" thickBot="1">
      <c r="A44" s="43">
        <f t="shared" ref="A44:D48" si="11">A31</f>
        <v>1</v>
      </c>
      <c r="B44" s="43">
        <f t="shared" si="11"/>
        <v>18200</v>
      </c>
      <c r="C44" s="48">
        <f t="shared" si="11"/>
        <v>18200</v>
      </c>
      <c r="D44" s="69">
        <f t="shared" si="11"/>
        <v>0</v>
      </c>
      <c r="E44" s="44"/>
      <c r="F44" s="50">
        <f>IF('SME Servicing Calculator'!O36&lt;B44,'SME Servicing Calculator'!O36,C44)</f>
        <v>0</v>
      </c>
      <c r="G44" s="50">
        <f>F44</f>
        <v>0</v>
      </c>
      <c r="H44" s="50">
        <f>F44*D44</f>
        <v>0</v>
      </c>
      <c r="I44" s="51"/>
      <c r="J44" s="50">
        <f>F44-H44</f>
        <v>0</v>
      </c>
      <c r="L44" s="73"/>
      <c r="M44" s="72"/>
      <c r="N44" s="72"/>
      <c r="P44" s="43">
        <f t="shared" ref="P44:S48" si="12">A44</f>
        <v>1</v>
      </c>
      <c r="Q44" s="43">
        <f t="shared" si="12"/>
        <v>18200</v>
      </c>
      <c r="R44" s="43">
        <f t="shared" si="12"/>
        <v>18200</v>
      </c>
      <c r="S44" s="78">
        <f t="shared" si="12"/>
        <v>0</v>
      </c>
      <c r="T44" s="44"/>
      <c r="U44" s="50">
        <f>IF('SMSF Servicing Calculator'!N72&lt;Q44,'SMSF Servicing Calculator'!N72,R44)</f>
        <v>0</v>
      </c>
      <c r="V44" s="50">
        <f>U44</f>
        <v>0</v>
      </c>
      <c r="W44" s="50">
        <f>U44*S44</f>
        <v>0</v>
      </c>
      <c r="X44" s="51"/>
      <c r="Y44" s="50">
        <f>U44-W44</f>
        <v>0</v>
      </c>
      <c r="AA44" s="73"/>
      <c r="AB44" s="72"/>
      <c r="AC44" s="72"/>
      <c r="AE44" s="43">
        <f t="shared" ref="AE44:AH48" si="13">AE31</f>
        <v>1</v>
      </c>
      <c r="AF44" s="43">
        <f t="shared" si="13"/>
        <v>18200</v>
      </c>
      <c r="AG44" s="48">
        <f t="shared" si="13"/>
        <v>18200</v>
      </c>
      <c r="AH44" s="69">
        <f t="shared" si="13"/>
        <v>0</v>
      </c>
      <c r="AI44" s="44"/>
      <c r="AJ44" s="50" t="e">
        <f>IF(#REF!&lt;AF44,#REF!,AG44)</f>
        <v>#REF!</v>
      </c>
      <c r="AK44" s="50" t="e">
        <f>AJ44</f>
        <v>#REF!</v>
      </c>
      <c r="AL44" s="50" t="e">
        <f>AJ44*AH44</f>
        <v>#REF!</v>
      </c>
      <c r="AM44" s="51"/>
      <c r="AN44" s="50" t="e">
        <f>AJ44-AL44</f>
        <v>#REF!</v>
      </c>
      <c r="AP44" s="73"/>
      <c r="AQ44" s="72"/>
      <c r="AR44" s="72"/>
      <c r="AT44" s="43">
        <f t="shared" ref="AT44:AW48" si="14">AT5</f>
        <v>1</v>
      </c>
      <c r="AU44" s="43">
        <f t="shared" si="14"/>
        <v>18200</v>
      </c>
      <c r="AV44" s="43">
        <f t="shared" si="14"/>
        <v>18200</v>
      </c>
      <c r="AW44" s="78">
        <f t="shared" si="14"/>
        <v>0</v>
      </c>
      <c r="AX44" s="44"/>
      <c r="AY44" s="50">
        <v>0</v>
      </c>
      <c r="AZ44" s="50">
        <f>AY44</f>
        <v>0</v>
      </c>
      <c r="BA44" s="50">
        <f>AY44*AW44</f>
        <v>0</v>
      </c>
      <c r="BB44" s="51"/>
      <c r="BC44" s="50">
        <f>AY44-BA44</f>
        <v>0</v>
      </c>
    </row>
    <row r="45" spans="1:55" ht="13.5" thickBot="1">
      <c r="A45" s="43">
        <f t="shared" si="11"/>
        <v>18201</v>
      </c>
      <c r="B45" s="43">
        <f t="shared" si="11"/>
        <v>45000</v>
      </c>
      <c r="C45" s="48">
        <f t="shared" si="11"/>
        <v>26800</v>
      </c>
      <c r="D45" s="69">
        <f t="shared" si="11"/>
        <v>0.16</v>
      </c>
      <c r="E45" s="44"/>
      <c r="F45" s="50">
        <f>IF(G44='SME Servicing Calculator'!O36,0,IF(('SME Servicing Calculator'!O36-G44)&gt;C45,C45,('SME Servicing Calculator'!O36-G44)))</f>
        <v>0</v>
      </c>
      <c r="G45" s="50">
        <f>G44+F45</f>
        <v>0</v>
      </c>
      <c r="H45" s="50">
        <f>F45*D45</f>
        <v>0</v>
      </c>
      <c r="I45" s="51"/>
      <c r="J45" s="50">
        <f>F45-H45</f>
        <v>0</v>
      </c>
      <c r="L45" s="73"/>
      <c r="M45" s="72"/>
      <c r="N45" s="72"/>
      <c r="P45" s="43">
        <f t="shared" si="12"/>
        <v>18201</v>
      </c>
      <c r="Q45" s="43">
        <f t="shared" si="12"/>
        <v>45000</v>
      </c>
      <c r="R45" s="43">
        <f t="shared" si="12"/>
        <v>26800</v>
      </c>
      <c r="S45" s="78">
        <f t="shared" si="12"/>
        <v>0.16</v>
      </c>
      <c r="T45" s="44"/>
      <c r="U45" s="50">
        <f>IF(V44='SMSF Servicing Calculator'!$N$72,0,IF(('SMSF Servicing Calculator'!$N$72-V44)&gt;R45,R45,('SMSF Servicing Calculator'!$N$72-V44)))</f>
        <v>0</v>
      </c>
      <c r="V45" s="50">
        <f>V44+U45</f>
        <v>0</v>
      </c>
      <c r="W45" s="50">
        <f>U45*S45</f>
        <v>0</v>
      </c>
      <c r="X45" s="51"/>
      <c r="Y45" s="50">
        <f>U45-W45</f>
        <v>0</v>
      </c>
      <c r="AA45" s="73"/>
      <c r="AB45" s="72"/>
      <c r="AC45" s="72"/>
      <c r="AE45" s="43">
        <f t="shared" si="13"/>
        <v>18201</v>
      </c>
      <c r="AF45" s="43">
        <f t="shared" si="13"/>
        <v>45000</v>
      </c>
      <c r="AG45" s="48">
        <f t="shared" si="13"/>
        <v>26800</v>
      </c>
      <c r="AH45" s="69">
        <f t="shared" si="13"/>
        <v>0.16</v>
      </c>
      <c r="AI45" s="44"/>
      <c r="AJ45" s="50" t="e">
        <f>IF(AK44=#REF!,0,IF((#REF!-AK44)&gt;AG45,AG45,(#REF!-AK44)))</f>
        <v>#REF!</v>
      </c>
      <c r="AK45" s="50" t="e">
        <f>AK44+AJ45</f>
        <v>#REF!</v>
      </c>
      <c r="AL45" s="50" t="e">
        <f>AJ45*AH45</f>
        <v>#REF!</v>
      </c>
      <c r="AM45" s="51"/>
      <c r="AN45" s="50" t="e">
        <f>AJ45-AL45</f>
        <v>#REF!</v>
      </c>
      <c r="AP45" s="73"/>
      <c r="AQ45" s="72"/>
      <c r="AR45" s="72"/>
      <c r="AT45" s="43">
        <f t="shared" si="14"/>
        <v>18201</v>
      </c>
      <c r="AU45" s="43">
        <f t="shared" si="14"/>
        <v>45000</v>
      </c>
      <c r="AV45" s="43">
        <f t="shared" si="14"/>
        <v>26800</v>
      </c>
      <c r="AW45" s="78">
        <f t="shared" si="14"/>
        <v>0.16</v>
      </c>
      <c r="AX45" s="44"/>
      <c r="AY45" s="50">
        <v>0</v>
      </c>
      <c r="AZ45" s="50">
        <f>AZ44+AY45</f>
        <v>0</v>
      </c>
      <c r="BA45" s="50">
        <f>AY45*AW45</f>
        <v>0</v>
      </c>
      <c r="BB45" s="51"/>
      <c r="BC45" s="50">
        <f>AY45-BA45</f>
        <v>0</v>
      </c>
    </row>
    <row r="46" spans="1:55" ht="13.5" thickBot="1">
      <c r="A46" s="43">
        <f t="shared" si="11"/>
        <v>45001</v>
      </c>
      <c r="B46" s="43">
        <f t="shared" si="11"/>
        <v>135000</v>
      </c>
      <c r="C46" s="48">
        <f t="shared" si="11"/>
        <v>90000</v>
      </c>
      <c r="D46" s="69">
        <f t="shared" si="11"/>
        <v>0.3</v>
      </c>
      <c r="E46" s="44"/>
      <c r="F46" s="50">
        <f>IF(G45='SME Servicing Calculator'!O36,0,IF(('SME Servicing Calculator'!O36-G45)&gt;C46,C46,('SME Servicing Calculator'!O36-G45)))</f>
        <v>0</v>
      </c>
      <c r="G46" s="50">
        <f>G45+F46</f>
        <v>0</v>
      </c>
      <c r="H46" s="50">
        <f>F46*D46</f>
        <v>0</v>
      </c>
      <c r="I46" s="51"/>
      <c r="J46" s="50">
        <f>F46-H46</f>
        <v>0</v>
      </c>
      <c r="L46" s="79"/>
      <c r="M46" s="72"/>
      <c r="N46" s="72"/>
      <c r="P46" s="43">
        <f t="shared" si="12"/>
        <v>45001</v>
      </c>
      <c r="Q46" s="43">
        <f t="shared" si="12"/>
        <v>135000</v>
      </c>
      <c r="R46" s="43">
        <f t="shared" si="12"/>
        <v>90000</v>
      </c>
      <c r="S46" s="78">
        <f t="shared" si="12"/>
        <v>0.3</v>
      </c>
      <c r="T46" s="44"/>
      <c r="U46" s="50">
        <f>IF(V45='SMSF Servicing Calculator'!$N$72,0,IF(('SMSF Servicing Calculator'!$N$72-V45)&gt;R46,R46,('SMSF Servicing Calculator'!$N$72-V45)))</f>
        <v>0</v>
      </c>
      <c r="V46" s="50">
        <f>V45+U46</f>
        <v>0</v>
      </c>
      <c r="W46" s="50">
        <f>U46*S46</f>
        <v>0</v>
      </c>
      <c r="X46" s="51"/>
      <c r="Y46" s="50">
        <f>U46-W46</f>
        <v>0</v>
      </c>
      <c r="AA46" s="79">
        <f>IF(U46&gt;13000,(U46-13000)*0.5%,0)</f>
        <v>0</v>
      </c>
      <c r="AB46" s="72"/>
      <c r="AC46" s="72"/>
      <c r="AE46" s="43">
        <f t="shared" si="13"/>
        <v>45001</v>
      </c>
      <c r="AF46" s="43">
        <f t="shared" si="13"/>
        <v>135000</v>
      </c>
      <c r="AG46" s="48">
        <f t="shared" si="13"/>
        <v>90000</v>
      </c>
      <c r="AH46" s="69">
        <f t="shared" si="13"/>
        <v>0.3</v>
      </c>
      <c r="AI46" s="44"/>
      <c r="AJ46" s="50" t="e">
        <f>IF(AK45=#REF!,0,IF((#REF!-AK45)&gt;AG46,AG46,(#REF!-AK45)))</f>
        <v>#REF!</v>
      </c>
      <c r="AK46" s="50" t="e">
        <f>AK45+AJ46</f>
        <v>#REF!</v>
      </c>
      <c r="AL46" s="50" t="e">
        <f>AJ46*AH46</f>
        <v>#REF!</v>
      </c>
      <c r="AM46" s="51"/>
      <c r="AN46" s="50" t="e">
        <f>AJ46-AL46</f>
        <v>#REF!</v>
      </c>
      <c r="AP46" s="79" t="e">
        <f>IF(AJ46&gt;13000,(AJ46-13000)*0.5%,0)</f>
        <v>#REF!</v>
      </c>
      <c r="AQ46" s="72"/>
      <c r="AR46" s="72"/>
      <c r="AT46" s="43">
        <f t="shared" si="14"/>
        <v>45001</v>
      </c>
      <c r="AU46" s="43">
        <f t="shared" si="14"/>
        <v>135000</v>
      </c>
      <c r="AV46" s="43">
        <f t="shared" si="14"/>
        <v>90000</v>
      </c>
      <c r="AW46" s="78">
        <f t="shared" si="14"/>
        <v>0.3</v>
      </c>
      <c r="AX46" s="44"/>
      <c r="AY46" s="50">
        <v>0</v>
      </c>
      <c r="AZ46" s="50">
        <f>AZ45+AY46</f>
        <v>0</v>
      </c>
      <c r="BA46" s="50">
        <f>AY46*AW46</f>
        <v>0</v>
      </c>
      <c r="BB46" s="51"/>
      <c r="BC46" s="50">
        <f>AY46-BA46</f>
        <v>0</v>
      </c>
    </row>
    <row r="47" spans="1:55" ht="13.5" thickBot="1">
      <c r="A47" s="43">
        <f t="shared" si="11"/>
        <v>135001</v>
      </c>
      <c r="B47" s="43">
        <f t="shared" si="11"/>
        <v>190001</v>
      </c>
      <c r="C47" s="48">
        <f t="shared" si="11"/>
        <v>55001</v>
      </c>
      <c r="D47" s="69">
        <f t="shared" si="11"/>
        <v>0.37</v>
      </c>
      <c r="E47" s="44"/>
      <c r="F47" s="50">
        <f>IF(G46='SME Servicing Calculator'!O36,0,IF(('SME Servicing Calculator'!O36-G46)&gt;C47,C47,('SME Servicing Calculator'!O36-G46)))</f>
        <v>0</v>
      </c>
      <c r="G47" s="50">
        <f>G46+F47</f>
        <v>0</v>
      </c>
      <c r="H47" s="50">
        <f>F47*D47</f>
        <v>0</v>
      </c>
      <c r="I47" s="51"/>
      <c r="J47" s="50">
        <f>F47-H47</f>
        <v>0</v>
      </c>
      <c r="L47" s="73"/>
      <c r="M47" s="79"/>
      <c r="N47" s="80"/>
      <c r="P47" s="43">
        <f t="shared" si="12"/>
        <v>135001</v>
      </c>
      <c r="Q47" s="43">
        <f t="shared" si="12"/>
        <v>190001</v>
      </c>
      <c r="R47" s="43">
        <f t="shared" si="12"/>
        <v>55001</v>
      </c>
      <c r="S47" s="78">
        <f t="shared" si="12"/>
        <v>0.37</v>
      </c>
      <c r="T47" s="44"/>
      <c r="U47" s="50">
        <f>IF(V46='SMSF Servicing Calculator'!$N$72,0,IF(('SMSF Servicing Calculator'!$N$72-V46)&gt;R47,R47,('SMSF Servicing Calculator'!$N$72-V46)))</f>
        <v>0</v>
      </c>
      <c r="V47" s="50">
        <f>V46+U47</f>
        <v>0</v>
      </c>
      <c r="W47" s="50">
        <f>U47*S47</f>
        <v>0</v>
      </c>
      <c r="X47" s="51"/>
      <c r="Y47" s="50">
        <f>U47-W47</f>
        <v>0</v>
      </c>
      <c r="AA47" s="73">
        <f>SUM(AB47:AC47)</f>
        <v>0</v>
      </c>
      <c r="AB47" s="79">
        <f>IF(U47&lt;=20000,U47*0.5%,0)</f>
        <v>0</v>
      </c>
      <c r="AC47" s="80">
        <f>IF(U47&gt;20000,((U47-20000)*1%)+100,0)</f>
        <v>0</v>
      </c>
      <c r="AE47" s="43">
        <f t="shared" si="13"/>
        <v>135001</v>
      </c>
      <c r="AF47" s="43">
        <f t="shared" si="13"/>
        <v>190001</v>
      </c>
      <c r="AG47" s="48">
        <f t="shared" si="13"/>
        <v>55001</v>
      </c>
      <c r="AH47" s="69">
        <f t="shared" si="13"/>
        <v>0.37</v>
      </c>
      <c r="AI47" s="44"/>
      <c r="AJ47" s="50" t="e">
        <f>IF(AK46=#REF!,0,IF((#REF!-AK46)&gt;AG47,AG47,(#REF!-AK46)))</f>
        <v>#REF!</v>
      </c>
      <c r="AK47" s="50" t="e">
        <f>AK46+AJ47</f>
        <v>#REF!</v>
      </c>
      <c r="AL47" s="50" t="e">
        <f>AJ47*AH47</f>
        <v>#REF!</v>
      </c>
      <c r="AM47" s="51"/>
      <c r="AN47" s="50" t="e">
        <f>AJ47-AL47</f>
        <v>#REF!</v>
      </c>
      <c r="AP47" s="73" t="e">
        <f>SUM(AQ47:AR47)</f>
        <v>#REF!</v>
      </c>
      <c r="AQ47" s="79" t="e">
        <f>IF(AJ47&lt;=20000,AJ47*0.5%,0)</f>
        <v>#REF!</v>
      </c>
      <c r="AR47" s="80" t="e">
        <f>IF(AJ47&gt;20000,((AJ47-20000)*1%)+100,0)</f>
        <v>#REF!</v>
      </c>
      <c r="AT47" s="43">
        <f t="shared" si="14"/>
        <v>135001</v>
      </c>
      <c r="AU47" s="43">
        <f t="shared" si="14"/>
        <v>190001</v>
      </c>
      <c r="AV47" s="43">
        <f t="shared" si="14"/>
        <v>55001</v>
      </c>
      <c r="AW47" s="78">
        <f t="shared" si="14"/>
        <v>0.37</v>
      </c>
      <c r="AX47" s="44"/>
      <c r="AY47" s="50">
        <v>0</v>
      </c>
      <c r="AZ47" s="50">
        <f>AZ46+AY47</f>
        <v>0</v>
      </c>
      <c r="BA47" s="50">
        <f>AY47*AW47</f>
        <v>0</v>
      </c>
      <c r="BB47" s="51"/>
      <c r="BC47" s="50">
        <f>AY47-BA47</f>
        <v>0</v>
      </c>
    </row>
    <row r="48" spans="1:55" ht="13.5" thickBot="1">
      <c r="A48" s="43">
        <f t="shared" si="11"/>
        <v>190001</v>
      </c>
      <c r="B48" s="43">
        <f t="shared" si="11"/>
        <v>100000000</v>
      </c>
      <c r="C48" s="48">
        <f t="shared" si="11"/>
        <v>99810000</v>
      </c>
      <c r="D48" s="69">
        <f t="shared" si="11"/>
        <v>0.45</v>
      </c>
      <c r="E48" s="44"/>
      <c r="F48" s="50">
        <f>IF('SME Servicing Calculator'!O36-G47&lt;=0,0,('SME Servicing Calculator'!O36-G47))</f>
        <v>0</v>
      </c>
      <c r="G48" s="50">
        <f>G47+F48</f>
        <v>0</v>
      </c>
      <c r="H48" s="50">
        <f>F48*D48</f>
        <v>0</v>
      </c>
      <c r="I48" s="51"/>
      <c r="J48" s="50">
        <f>F48-H48</f>
        <v>0</v>
      </c>
      <c r="L48" s="79"/>
      <c r="M48" s="72"/>
      <c r="N48" s="72"/>
      <c r="P48" s="43">
        <f t="shared" si="12"/>
        <v>190001</v>
      </c>
      <c r="Q48" s="43">
        <f t="shared" si="12"/>
        <v>100000000</v>
      </c>
      <c r="R48" s="43">
        <f t="shared" si="12"/>
        <v>99810000</v>
      </c>
      <c r="S48" s="78">
        <f t="shared" si="12"/>
        <v>0.45</v>
      </c>
      <c r="T48" s="44"/>
      <c r="U48" s="50">
        <f>IF(V47='SMSF Servicing Calculator'!$N$72,0,IF(('SMSF Servicing Calculator'!$N$72-V47)&gt;R48,R48,('SMSF Servicing Calculator'!$N$72-V47)))</f>
        <v>0</v>
      </c>
      <c r="V48" s="50">
        <f>V47+U48</f>
        <v>0</v>
      </c>
      <c r="W48" s="50">
        <f>U48*S48</f>
        <v>0</v>
      </c>
      <c r="X48" s="51"/>
      <c r="Y48" s="50">
        <f>U48-W48</f>
        <v>0</v>
      </c>
      <c r="AA48" s="79">
        <f>U48*1%</f>
        <v>0</v>
      </c>
      <c r="AB48" s="72"/>
      <c r="AC48" s="72"/>
      <c r="AE48" s="43">
        <f t="shared" si="13"/>
        <v>190001</v>
      </c>
      <c r="AF48" s="43">
        <f t="shared" si="13"/>
        <v>100000000</v>
      </c>
      <c r="AG48" s="48">
        <f t="shared" si="13"/>
        <v>99810000</v>
      </c>
      <c r="AH48" s="69">
        <f t="shared" si="13"/>
        <v>0.45</v>
      </c>
      <c r="AI48" s="44"/>
      <c r="AJ48" s="50" t="e">
        <f>IF(#REF!-AK47&lt;=0,0,(#REF!-AK47))</f>
        <v>#REF!</v>
      </c>
      <c r="AK48" s="50" t="e">
        <f>AK47+AJ48</f>
        <v>#REF!</v>
      </c>
      <c r="AL48" s="50" t="e">
        <f>AJ48*AH48</f>
        <v>#REF!</v>
      </c>
      <c r="AM48" s="51"/>
      <c r="AN48" s="50" t="e">
        <f>AJ48-AL48</f>
        <v>#REF!</v>
      </c>
      <c r="AP48" s="79" t="e">
        <f>AJ48*1%</f>
        <v>#REF!</v>
      </c>
      <c r="AQ48" s="72"/>
      <c r="AR48" s="72"/>
      <c r="AT48" s="43">
        <f t="shared" si="14"/>
        <v>190001</v>
      </c>
      <c r="AU48" s="43">
        <f t="shared" si="14"/>
        <v>100000000</v>
      </c>
      <c r="AV48" s="43">
        <f t="shared" si="14"/>
        <v>99810000</v>
      </c>
      <c r="AW48" s="78">
        <f t="shared" si="14"/>
        <v>0.45</v>
      </c>
      <c r="AX48" s="44"/>
      <c r="AY48" s="50">
        <v>0</v>
      </c>
      <c r="AZ48" s="50">
        <f>AZ47+AY48</f>
        <v>0</v>
      </c>
      <c r="BA48" s="50">
        <f>AY48*AW48</f>
        <v>0</v>
      </c>
      <c r="BB48" s="51"/>
      <c r="BC48" s="50">
        <f>AY48-BA48</f>
        <v>0</v>
      </c>
    </row>
    <row r="49" spans="1:55" ht="13.5" thickBot="1">
      <c r="A49" s="48"/>
      <c r="B49" s="48"/>
      <c r="C49" s="46"/>
      <c r="D49" s="52" t="s">
        <v>59</v>
      </c>
      <c r="E49" s="44"/>
      <c r="F49" s="50">
        <f>SUM(F44:F48)</f>
        <v>0</v>
      </c>
      <c r="G49" s="50"/>
      <c r="H49" s="50">
        <f>SUM(H44:H48)</f>
        <v>0</v>
      </c>
      <c r="I49" s="51"/>
      <c r="J49" s="50">
        <f>SUM(J44:J48)</f>
        <v>0</v>
      </c>
      <c r="L49" s="77"/>
      <c r="M49" s="72"/>
      <c r="N49" s="72"/>
      <c r="P49" s="48"/>
      <c r="Q49" s="48"/>
      <c r="R49" s="46"/>
      <c r="S49" s="52" t="s">
        <v>59</v>
      </c>
      <c r="T49" s="44"/>
      <c r="U49" s="50">
        <f>SUM(U44:U48)</f>
        <v>0</v>
      </c>
      <c r="V49" s="50"/>
      <c r="W49" s="50">
        <f>SUM(W44:W48)</f>
        <v>0</v>
      </c>
      <c r="X49" s="51"/>
      <c r="Y49" s="50">
        <f>SUM(Y44:Y48)</f>
        <v>0</v>
      </c>
      <c r="AA49" s="77">
        <f>SUM(AA46:AA48)</f>
        <v>0</v>
      </c>
      <c r="AB49" s="72"/>
      <c r="AC49" s="72"/>
      <c r="AE49" s="48"/>
      <c r="AF49" s="48"/>
      <c r="AG49" s="46"/>
      <c r="AH49" s="52" t="s">
        <v>59</v>
      </c>
      <c r="AI49" s="44"/>
      <c r="AJ49" s="50" t="e">
        <f>SUM(AJ44:AJ48)</f>
        <v>#REF!</v>
      </c>
      <c r="AK49" s="50"/>
      <c r="AL49" s="50" t="e">
        <f>SUM(AL44:AL48)</f>
        <v>#REF!</v>
      </c>
      <c r="AM49" s="51"/>
      <c r="AN49" s="50" t="e">
        <f>SUM(AN44:AN48)</f>
        <v>#REF!</v>
      </c>
      <c r="AP49" s="77" t="e">
        <f>SUM(AP46:AP48)</f>
        <v>#REF!</v>
      </c>
      <c r="AQ49" s="72"/>
      <c r="AR49" s="72"/>
      <c r="AT49" s="48"/>
      <c r="AU49" s="48"/>
      <c r="AV49" s="46"/>
      <c r="AW49" s="52" t="s">
        <v>59</v>
      </c>
      <c r="AX49" s="44"/>
      <c r="AY49" s="50">
        <f>SUM(AY44:AY48)</f>
        <v>0</v>
      </c>
      <c r="AZ49" s="50"/>
      <c r="BA49" s="50">
        <f>SUM(BA44:BA48)</f>
        <v>0</v>
      </c>
      <c r="BB49" s="51"/>
      <c r="BC49" s="50">
        <f>SUM(BC44:BC48)</f>
        <v>0</v>
      </c>
    </row>
    <row r="50" spans="1:55">
      <c r="A50" s="65" t="s">
        <v>86</v>
      </c>
      <c r="C50" s="75">
        <v>0</v>
      </c>
      <c r="D50" s="76" t="s">
        <v>84</v>
      </c>
      <c r="E50" s="44"/>
      <c r="F50" s="43"/>
      <c r="G50" s="43"/>
      <c r="H50" s="43"/>
      <c r="I50" s="43"/>
      <c r="J50" s="43"/>
      <c r="L50" s="73"/>
      <c r="M50" s="72"/>
      <c r="N50" s="72"/>
      <c r="P50" s="65" t="s">
        <v>86</v>
      </c>
      <c r="R50" s="75">
        <v>0</v>
      </c>
      <c r="S50" s="76" t="s">
        <v>84</v>
      </c>
      <c r="T50" s="44"/>
      <c r="U50" s="43"/>
      <c r="V50" s="43"/>
      <c r="W50" s="43"/>
      <c r="X50" s="43"/>
      <c r="Y50" s="43"/>
      <c r="AA50" s="73"/>
      <c r="AB50" s="72"/>
      <c r="AC50" s="72"/>
      <c r="AE50" s="65" t="s">
        <v>87</v>
      </c>
      <c r="AG50" s="75">
        <v>0</v>
      </c>
      <c r="AH50" s="76" t="s">
        <v>48</v>
      </c>
      <c r="AI50" s="44"/>
      <c r="AJ50" s="43"/>
      <c r="AK50" s="43"/>
      <c r="AL50" s="43"/>
      <c r="AM50" s="43"/>
      <c r="AN50" s="43"/>
      <c r="AP50" s="73"/>
      <c r="AQ50" s="72"/>
      <c r="AR50" s="72"/>
      <c r="AT50" s="65" t="s">
        <v>86</v>
      </c>
      <c r="AV50" s="75">
        <f>IF($AY$49&lt;=$B$97,$D$97,(IF($AY$49&lt;=$B$98,$D$98,IF($AY$49&lt;=$B$99,(($AY$49-$B$98)*$C$99)+$D$99,IF($AY$49&lt;=$B$100,$D$100,IF($AY$49&lt;=$B$101,(($AY$49-$B$100)*$C$101)+$D$101,IF($AY$49&lt;=$B$102,$D$102,0)))))))/12</f>
        <v>0</v>
      </c>
      <c r="AW50" s="76" t="s">
        <v>84</v>
      </c>
      <c r="AX50" s="44"/>
      <c r="AY50" s="43"/>
      <c r="AZ50" s="43"/>
      <c r="BA50" s="43"/>
      <c r="BB50" s="43"/>
      <c r="BC50" s="43"/>
    </row>
    <row r="51" spans="1:55">
      <c r="A51" s="65" t="s">
        <v>85</v>
      </c>
      <c r="C51" s="75">
        <v>0</v>
      </c>
      <c r="D51" s="76" t="s">
        <v>84</v>
      </c>
      <c r="E51" s="44"/>
      <c r="F51" s="43"/>
      <c r="G51" s="43"/>
      <c r="H51" s="43"/>
      <c r="I51" s="43"/>
      <c r="J51" s="43"/>
      <c r="L51" s="73"/>
      <c r="M51" s="72"/>
      <c r="N51" s="72"/>
      <c r="P51" s="65" t="s">
        <v>85</v>
      </c>
      <c r="R51" s="75">
        <v>0</v>
      </c>
      <c r="S51" s="76" t="s">
        <v>84</v>
      </c>
      <c r="T51" s="44"/>
      <c r="U51" s="43"/>
      <c r="V51" s="43"/>
      <c r="W51" s="43"/>
      <c r="X51" s="43"/>
      <c r="Y51" s="43"/>
      <c r="AA51" s="73"/>
      <c r="AB51" s="72"/>
      <c r="AC51" s="72"/>
      <c r="AE51" s="65"/>
      <c r="AG51" s="75"/>
      <c r="AH51" s="76"/>
      <c r="AI51" s="44"/>
      <c r="AJ51" s="43"/>
      <c r="AK51" s="43"/>
      <c r="AL51" s="43"/>
      <c r="AM51" s="43"/>
      <c r="AN51" s="43"/>
      <c r="AP51" s="73"/>
      <c r="AQ51" s="72"/>
      <c r="AR51" s="72"/>
      <c r="AT51" s="65" t="s">
        <v>85</v>
      </c>
      <c r="AV51" s="75">
        <f>IF($AY$49&lt;=$B$109,$D$109,IF($AY$49&lt;=$B$110,$D$110,IF($AY$49&lt;=$B$111,(($AY$49-$B$110)*$C$111)+$D$111,IF($AY$49&lt;=$B$112,$D$112,0))))/12</f>
        <v>0</v>
      </c>
      <c r="AW51" s="76" t="s">
        <v>84</v>
      </c>
      <c r="AX51" s="44"/>
      <c r="AY51" s="43"/>
      <c r="AZ51" s="43"/>
      <c r="BA51" s="43"/>
      <c r="BB51" s="43"/>
      <c r="BC51" s="43"/>
    </row>
    <row r="52" spans="1:55" ht="13.5" thickBot="1">
      <c r="A52" s="57" t="s">
        <v>83</v>
      </c>
      <c r="C52" s="75">
        <f>F49*(2/100)/12</f>
        <v>0</v>
      </c>
      <c r="D52" s="74">
        <v>0.02</v>
      </c>
      <c r="E52" s="44"/>
      <c r="F52" s="43"/>
      <c r="G52" s="43"/>
      <c r="H52" s="43"/>
      <c r="I52" s="43"/>
      <c r="J52" s="43"/>
      <c r="L52" s="73"/>
      <c r="M52" s="72"/>
      <c r="N52" s="72"/>
      <c r="P52" s="57" t="s">
        <v>83</v>
      </c>
      <c r="R52" s="75">
        <f>U49*(2/100)/12</f>
        <v>0</v>
      </c>
      <c r="S52" s="74">
        <v>0.02</v>
      </c>
      <c r="T52" s="44"/>
      <c r="U52" s="43"/>
      <c r="V52" s="43"/>
      <c r="W52" s="43"/>
      <c r="X52" s="43"/>
      <c r="Y52" s="43"/>
      <c r="AA52" s="73"/>
      <c r="AB52" s="72"/>
      <c r="AC52" s="72"/>
      <c r="AE52" s="57" t="s">
        <v>83</v>
      </c>
      <c r="AG52" s="75">
        <v>0</v>
      </c>
      <c r="AH52" s="76" t="s">
        <v>48</v>
      </c>
      <c r="AI52" s="44"/>
      <c r="AJ52" s="43"/>
      <c r="AK52" s="43"/>
      <c r="AL52" s="43"/>
      <c r="AM52" s="43"/>
      <c r="AN52" s="43"/>
      <c r="AP52" s="73"/>
      <c r="AQ52" s="72"/>
      <c r="AR52" s="72"/>
      <c r="AT52" s="57" t="s">
        <v>83</v>
      </c>
      <c r="AV52" s="75">
        <f>AY49*(2/100)/12</f>
        <v>0</v>
      </c>
      <c r="AW52" s="74">
        <v>0.02</v>
      </c>
      <c r="AX52" s="44"/>
      <c r="AY52" s="43"/>
      <c r="AZ52" s="43"/>
      <c r="BA52" s="43"/>
      <c r="BB52" s="43"/>
      <c r="BC52" s="43"/>
    </row>
    <row r="53" spans="1:55" ht="13.5" thickBot="1">
      <c r="A53" s="48"/>
      <c r="B53" s="47"/>
      <c r="C53" s="71">
        <f>SUM(C50:C52)</f>
        <v>0</v>
      </c>
      <c r="D53" s="45"/>
      <c r="E53" s="44"/>
      <c r="F53" s="43"/>
      <c r="G53" s="43"/>
      <c r="H53" s="42" t="s">
        <v>33</v>
      </c>
      <c r="I53" s="41"/>
      <c r="J53" s="40">
        <f>(J49/12)-C53</f>
        <v>0</v>
      </c>
      <c r="L53" s="73"/>
      <c r="M53" s="72"/>
      <c r="N53" s="72"/>
      <c r="P53" s="48"/>
      <c r="Q53" s="47"/>
      <c r="R53" s="71">
        <f>SUM(R50:R52)</f>
        <v>0</v>
      </c>
      <c r="S53" s="45"/>
      <c r="T53" s="44"/>
      <c r="U53" s="43"/>
      <c r="V53" s="43"/>
      <c r="W53" s="42" t="s">
        <v>33</v>
      </c>
      <c r="X53" s="41"/>
      <c r="Y53" s="40">
        <f>(Y49/12)-R53</f>
        <v>0</v>
      </c>
      <c r="AA53" s="73"/>
      <c r="AB53" s="72"/>
      <c r="AC53" s="72"/>
      <c r="AE53" s="48"/>
      <c r="AF53" s="47"/>
      <c r="AG53" s="71">
        <f>SUM(AG50:AG52)</f>
        <v>0</v>
      </c>
      <c r="AH53" s="45"/>
      <c r="AI53" s="44"/>
      <c r="AJ53" s="43"/>
      <c r="AK53" s="43"/>
      <c r="AL53" s="42" t="s">
        <v>33</v>
      </c>
      <c r="AM53" s="41"/>
      <c r="AN53" s="40" t="e">
        <f>(AN49/12)-AG53</f>
        <v>#REF!</v>
      </c>
      <c r="AP53" s="73"/>
      <c r="AQ53" s="72"/>
      <c r="AR53" s="72"/>
      <c r="AT53" s="48"/>
      <c r="AU53" s="47"/>
      <c r="AV53" s="71">
        <f>SUM(AV50:AV52)</f>
        <v>0</v>
      </c>
      <c r="AW53" s="45"/>
      <c r="AX53" s="44"/>
      <c r="AY53" s="43"/>
      <c r="AZ53" s="43"/>
      <c r="BA53" s="42" t="s">
        <v>33</v>
      </c>
      <c r="BB53" s="41"/>
      <c r="BC53" s="40">
        <f>(BC49/12)-AV53</f>
        <v>0</v>
      </c>
    </row>
    <row r="54" spans="1:55">
      <c r="A54" s="46"/>
      <c r="B54" s="46"/>
      <c r="C54" s="46"/>
      <c r="E54" s="46"/>
      <c r="F54" s="46"/>
      <c r="G54" s="46"/>
      <c r="H54" s="46"/>
      <c r="I54" s="46"/>
      <c r="J54" s="46"/>
      <c r="P54" s="46"/>
      <c r="Q54" s="46"/>
      <c r="R54" s="46"/>
      <c r="T54" s="46"/>
      <c r="U54" s="46"/>
      <c r="V54" s="46"/>
      <c r="W54" s="46"/>
      <c r="X54" s="46"/>
      <c r="Y54" s="46"/>
      <c r="AA54" s="39"/>
      <c r="AE54" s="46"/>
      <c r="AF54" s="46"/>
      <c r="AG54" s="46"/>
      <c r="AI54" s="46"/>
      <c r="AJ54" s="46"/>
      <c r="AK54" s="46"/>
      <c r="AL54" s="46"/>
      <c r="AM54" s="46"/>
      <c r="AN54" s="46"/>
      <c r="AT54" s="46"/>
      <c r="AU54" s="46"/>
      <c r="AV54" s="46"/>
      <c r="AX54" s="46"/>
      <c r="AY54" s="46"/>
      <c r="AZ54" s="46"/>
      <c r="BA54" s="46"/>
      <c r="BB54" s="46"/>
      <c r="BC54" s="46"/>
    </row>
    <row r="55" spans="1:55" hidden="1">
      <c r="A55" s="90" t="s">
        <v>82</v>
      </c>
      <c r="B55" s="90"/>
      <c r="C55" s="90"/>
      <c r="D55" s="90"/>
      <c r="E55" s="90"/>
      <c r="F55" s="90"/>
      <c r="G55" s="90"/>
      <c r="H55" s="91"/>
      <c r="I55" s="91"/>
      <c r="J55" s="91"/>
      <c r="P55" s="90" t="s">
        <v>82</v>
      </c>
      <c r="Q55" s="90"/>
      <c r="R55" s="90"/>
      <c r="S55" s="90"/>
      <c r="T55" s="90"/>
      <c r="U55" s="90"/>
      <c r="V55" s="90"/>
      <c r="W55" s="91"/>
      <c r="X55" s="91"/>
      <c r="Y55" s="91"/>
      <c r="AA55" s="39"/>
      <c r="AE55" s="90" t="s">
        <v>82</v>
      </c>
      <c r="AF55" s="90"/>
      <c r="AG55" s="90"/>
      <c r="AH55" s="90"/>
      <c r="AI55" s="90"/>
      <c r="AJ55" s="90"/>
      <c r="AK55" s="90"/>
      <c r="AL55" s="91"/>
      <c r="AM55" s="91"/>
      <c r="AN55" s="91"/>
      <c r="AT55" s="90" t="s">
        <v>82</v>
      </c>
      <c r="AU55" s="90"/>
      <c r="AV55" s="90"/>
      <c r="AW55" s="90"/>
      <c r="AX55" s="90"/>
      <c r="AY55" s="90"/>
      <c r="AZ55" s="90"/>
      <c r="BA55" s="91"/>
      <c r="BB55" s="91"/>
      <c r="BC55" s="91"/>
    </row>
    <row r="56" spans="1:55" hidden="1">
      <c r="A56" s="57" t="s">
        <v>64</v>
      </c>
      <c r="B56" s="57"/>
      <c r="C56" s="46"/>
      <c r="D56" s="57" t="s">
        <v>63</v>
      </c>
      <c r="E56" s="46"/>
      <c r="F56" s="56" t="s">
        <v>62</v>
      </c>
      <c r="G56" s="56"/>
      <c r="H56" s="56" t="s">
        <v>61</v>
      </c>
      <c r="I56" s="56"/>
      <c r="J56" s="56" t="s">
        <v>60</v>
      </c>
      <c r="P56" s="57" t="s">
        <v>64</v>
      </c>
      <c r="Q56" s="57"/>
      <c r="R56" s="46"/>
      <c r="S56" s="57" t="s">
        <v>63</v>
      </c>
      <c r="T56" s="46"/>
      <c r="U56" s="56" t="s">
        <v>62</v>
      </c>
      <c r="V56" s="56"/>
      <c r="W56" s="56" t="s">
        <v>61</v>
      </c>
      <c r="X56" s="56"/>
      <c r="Y56" s="56" t="s">
        <v>60</v>
      </c>
      <c r="AA56" s="39"/>
      <c r="AE56" s="57" t="s">
        <v>64</v>
      </c>
      <c r="AF56" s="57"/>
      <c r="AG56" s="46"/>
      <c r="AH56" s="57" t="s">
        <v>63</v>
      </c>
      <c r="AI56" s="46"/>
      <c r="AJ56" s="56" t="s">
        <v>62</v>
      </c>
      <c r="AK56" s="56"/>
      <c r="AL56" s="56" t="s">
        <v>61</v>
      </c>
      <c r="AM56" s="56"/>
      <c r="AN56" s="56" t="s">
        <v>60</v>
      </c>
      <c r="AT56" s="57" t="s">
        <v>64</v>
      </c>
      <c r="AU56" s="57"/>
      <c r="AV56" s="46"/>
      <c r="AW56" s="57" t="s">
        <v>63</v>
      </c>
      <c r="AX56" s="46"/>
      <c r="AY56" s="56" t="s">
        <v>62</v>
      </c>
      <c r="AZ56" s="56"/>
      <c r="BA56" s="56" t="s">
        <v>61</v>
      </c>
      <c r="BB56" s="56"/>
      <c r="BC56" s="56" t="s">
        <v>60</v>
      </c>
    </row>
    <row r="57" spans="1:55" ht="13.5" hidden="1" thickBot="1">
      <c r="A57" s="43">
        <v>1</v>
      </c>
      <c r="B57" s="43">
        <v>6000</v>
      </c>
      <c r="C57" s="48">
        <f>B57-A57+1</f>
        <v>6000</v>
      </c>
      <c r="D57" s="45">
        <v>0</v>
      </c>
      <c r="E57" s="44"/>
      <c r="F57" s="50" t="e">
        <f>IF('SME Servicing Calculator'!#REF!&lt;B57,'SME Servicing Calculator'!#REF!,C57)</f>
        <v>#REF!</v>
      </c>
      <c r="G57" s="50" t="e">
        <f>F57</f>
        <v>#REF!</v>
      </c>
      <c r="H57" s="50" t="e">
        <f>F57*D57</f>
        <v>#REF!</v>
      </c>
      <c r="I57" s="51"/>
      <c r="J57" s="50" t="e">
        <f>F57-H57</f>
        <v>#REF!</v>
      </c>
      <c r="P57" s="43">
        <v>1</v>
      </c>
      <c r="Q57" s="43">
        <v>6000</v>
      </c>
      <c r="R57" s="48">
        <f>Q57-P57+1</f>
        <v>6000</v>
      </c>
      <c r="S57" s="45">
        <v>0</v>
      </c>
      <c r="T57" s="44"/>
      <c r="U57" s="50" t="e">
        <f>IF('SME Servicing Calculator'!#REF!&lt;Q57,'SME Servicing Calculator'!#REF!,R57)</f>
        <v>#REF!</v>
      </c>
      <c r="V57" s="50" t="e">
        <f>U57</f>
        <v>#REF!</v>
      </c>
      <c r="W57" s="50" t="e">
        <f>U57*S57</f>
        <v>#REF!</v>
      </c>
      <c r="X57" s="51"/>
      <c r="Y57" s="50" t="e">
        <f>U57-W57</f>
        <v>#REF!</v>
      </c>
      <c r="AA57" s="39"/>
      <c r="AE57" s="43">
        <v>1</v>
      </c>
      <c r="AF57" s="43">
        <v>6000</v>
      </c>
      <c r="AG57" s="48">
        <f>AF57-AE57+1</f>
        <v>6000</v>
      </c>
      <c r="AH57" s="45">
        <v>0</v>
      </c>
      <c r="AI57" s="44"/>
      <c r="AJ57" s="50" t="e">
        <f>IF(#REF!&lt;AF57,#REF!,AG57)</f>
        <v>#REF!</v>
      </c>
      <c r="AK57" s="50" t="e">
        <f>AJ57</f>
        <v>#REF!</v>
      </c>
      <c r="AL57" s="50" t="e">
        <f>AJ57*AH57</f>
        <v>#REF!</v>
      </c>
      <c r="AM57" s="51"/>
      <c r="AN57" s="50" t="e">
        <f>AJ57-AL57</f>
        <v>#REF!</v>
      </c>
      <c r="AT57" s="43">
        <v>1</v>
      </c>
      <c r="AU57" s="43">
        <v>6000</v>
      </c>
      <c r="AV57" s="48">
        <f>AU57-AT57+1</f>
        <v>6000</v>
      </c>
      <c r="AW57" s="45">
        <v>0</v>
      </c>
      <c r="AX57" s="44"/>
      <c r="AY57" s="50" t="e">
        <f>IF('SME Servicing Calculator'!#REF!&lt;AU57,'SME Servicing Calculator'!#REF!,AV57)</f>
        <v>#REF!</v>
      </c>
      <c r="AZ57" s="50" t="e">
        <f>AY57</f>
        <v>#REF!</v>
      </c>
      <c r="BA57" s="50" t="e">
        <f>AY57*AW57</f>
        <v>#REF!</v>
      </c>
      <c r="BB57" s="51"/>
      <c r="BC57" s="50" t="e">
        <f>AY57-BA57</f>
        <v>#REF!</v>
      </c>
    </row>
    <row r="58" spans="1:55" ht="13.5" hidden="1" thickBot="1">
      <c r="A58" s="43">
        <v>6001</v>
      </c>
      <c r="B58" s="43">
        <v>35000</v>
      </c>
      <c r="C58" s="48">
        <f>B58-A58+1</f>
        <v>29000</v>
      </c>
      <c r="D58" s="45">
        <v>0.15</v>
      </c>
      <c r="E58" s="44"/>
      <c r="F58" s="50" t="e">
        <f>IF(G57='SME Servicing Calculator'!#REF!,0,IF(('SME Servicing Calculator'!#REF!-G57)&gt;C58,C58,('SME Servicing Calculator'!#REF!-G57)))</f>
        <v>#REF!</v>
      </c>
      <c r="G58" s="50" t="e">
        <f>G57+F58</f>
        <v>#REF!</v>
      </c>
      <c r="H58" s="50" t="e">
        <f>F58*D58</f>
        <v>#REF!</v>
      </c>
      <c r="I58" s="51"/>
      <c r="J58" s="50" t="e">
        <f>F58-H58</f>
        <v>#REF!</v>
      </c>
      <c r="P58" s="43">
        <v>6001</v>
      </c>
      <c r="Q58" s="43">
        <v>35000</v>
      </c>
      <c r="R58" s="48">
        <f>Q58-P58+1</f>
        <v>29000</v>
      </c>
      <c r="S58" s="45">
        <v>0.15</v>
      </c>
      <c r="T58" s="44"/>
      <c r="U58" s="50" t="e">
        <f>IF(V57='SME Servicing Calculator'!#REF!,0,IF(('SME Servicing Calculator'!#REF!-V57)&gt;R58,R58,('SME Servicing Calculator'!#REF!-V57)))</f>
        <v>#REF!</v>
      </c>
      <c r="V58" s="50" t="e">
        <f>V57+U58</f>
        <v>#REF!</v>
      </c>
      <c r="W58" s="50" t="e">
        <f>U58*S58</f>
        <v>#REF!</v>
      </c>
      <c r="X58" s="51"/>
      <c r="Y58" s="50" t="e">
        <f>U58-W58</f>
        <v>#REF!</v>
      </c>
      <c r="AA58" s="39"/>
      <c r="AE58" s="43">
        <v>6001</v>
      </c>
      <c r="AF58" s="43">
        <v>35000</v>
      </c>
      <c r="AG58" s="48">
        <f>AF58-AE58+1</f>
        <v>29000</v>
      </c>
      <c r="AH58" s="45">
        <v>0.15</v>
      </c>
      <c r="AI58" s="44"/>
      <c r="AJ58" s="50" t="e">
        <f>IF(AK57=#REF!,0,IF((#REF!-AK57)&gt;AG58,AG58,(#REF!-AK57)))</f>
        <v>#REF!</v>
      </c>
      <c r="AK58" s="50" t="e">
        <f>AK57+AJ58</f>
        <v>#REF!</v>
      </c>
      <c r="AL58" s="50" t="e">
        <f>AJ58*AH58</f>
        <v>#REF!</v>
      </c>
      <c r="AM58" s="51"/>
      <c r="AN58" s="50" t="e">
        <f>AJ58-AL58</f>
        <v>#REF!</v>
      </c>
      <c r="AT58" s="43">
        <v>6001</v>
      </c>
      <c r="AU58" s="43">
        <v>35000</v>
      </c>
      <c r="AV58" s="48">
        <f>AU58-AT58+1</f>
        <v>29000</v>
      </c>
      <c r="AW58" s="45">
        <v>0.15</v>
      </c>
      <c r="AX58" s="44"/>
      <c r="AY58" s="50" t="e">
        <f>IF(AZ57='SME Servicing Calculator'!#REF!,0,IF(('SME Servicing Calculator'!#REF!-AZ57)&gt;AV58,AV58,('SME Servicing Calculator'!#REF!-AZ57)))</f>
        <v>#REF!</v>
      </c>
      <c r="AZ58" s="50" t="e">
        <f>AZ57+AY58</f>
        <v>#REF!</v>
      </c>
      <c r="BA58" s="50" t="e">
        <f>AY58*AW58</f>
        <v>#REF!</v>
      </c>
      <c r="BB58" s="51"/>
      <c r="BC58" s="50" t="e">
        <f>AY58-BA58</f>
        <v>#REF!</v>
      </c>
    </row>
    <row r="59" spans="1:55" ht="13.5" hidden="1" thickBot="1">
      <c r="A59" s="43">
        <v>35001</v>
      </c>
      <c r="B59" s="43">
        <v>80000</v>
      </c>
      <c r="C59" s="48">
        <f>B59-A59+1</f>
        <v>45000</v>
      </c>
      <c r="D59" s="45">
        <v>0.3</v>
      </c>
      <c r="E59" s="44"/>
      <c r="F59" s="50" t="e">
        <f>IF(G58='SME Servicing Calculator'!#REF!,0,IF(('SME Servicing Calculator'!#REF!-G58)&gt;C59,C59,('SME Servicing Calculator'!#REF!-G58)))</f>
        <v>#REF!</v>
      </c>
      <c r="G59" s="50" t="e">
        <f>G58+F59</f>
        <v>#REF!</v>
      </c>
      <c r="H59" s="50" t="e">
        <f>F59*D59</f>
        <v>#REF!</v>
      </c>
      <c r="I59" s="51"/>
      <c r="J59" s="50" t="e">
        <f>F59-H59</f>
        <v>#REF!</v>
      </c>
      <c r="P59" s="43">
        <v>35001</v>
      </c>
      <c r="Q59" s="43">
        <v>80000</v>
      </c>
      <c r="R59" s="48">
        <f>Q59-P59+1</f>
        <v>45000</v>
      </c>
      <c r="S59" s="45">
        <v>0.3</v>
      </c>
      <c r="T59" s="44"/>
      <c r="U59" s="50" t="e">
        <f>IF(V58='SME Servicing Calculator'!#REF!,0,IF(('SME Servicing Calculator'!#REF!-V58)&gt;R59,R59,('SME Servicing Calculator'!#REF!-V58)))</f>
        <v>#REF!</v>
      </c>
      <c r="V59" s="50" t="e">
        <f>V58+U59</f>
        <v>#REF!</v>
      </c>
      <c r="W59" s="50" t="e">
        <f>U59*S59</f>
        <v>#REF!</v>
      </c>
      <c r="X59" s="51"/>
      <c r="Y59" s="50" t="e">
        <f>U59-W59</f>
        <v>#REF!</v>
      </c>
      <c r="AA59" s="39"/>
      <c r="AE59" s="43">
        <v>35001</v>
      </c>
      <c r="AF59" s="43">
        <v>80000</v>
      </c>
      <c r="AG59" s="48">
        <f>AF59-AE59+1</f>
        <v>45000</v>
      </c>
      <c r="AH59" s="45">
        <v>0.3</v>
      </c>
      <c r="AI59" s="44"/>
      <c r="AJ59" s="50" t="e">
        <f>IF(AK58=#REF!,0,IF((#REF!-AK58)&gt;AG59,AG59,(#REF!-AK58)))</f>
        <v>#REF!</v>
      </c>
      <c r="AK59" s="50" t="e">
        <f>AK58+AJ59</f>
        <v>#REF!</v>
      </c>
      <c r="AL59" s="50" t="e">
        <f>AJ59*AH59</f>
        <v>#REF!</v>
      </c>
      <c r="AM59" s="51"/>
      <c r="AN59" s="50" t="e">
        <f>AJ59-AL59</f>
        <v>#REF!</v>
      </c>
      <c r="AT59" s="43">
        <v>35001</v>
      </c>
      <c r="AU59" s="43">
        <v>80000</v>
      </c>
      <c r="AV59" s="48">
        <f>AU59-AT59+1</f>
        <v>45000</v>
      </c>
      <c r="AW59" s="45">
        <v>0.3</v>
      </c>
      <c r="AX59" s="44"/>
      <c r="AY59" s="50" t="e">
        <f>IF(AZ58='SME Servicing Calculator'!#REF!,0,IF(('SME Servicing Calculator'!#REF!-AZ58)&gt;AV59,AV59,('SME Servicing Calculator'!#REF!-AZ58)))</f>
        <v>#REF!</v>
      </c>
      <c r="AZ59" s="50" t="e">
        <f>AZ58+AY59</f>
        <v>#REF!</v>
      </c>
      <c r="BA59" s="50" t="e">
        <f>AY59*AW59</f>
        <v>#REF!</v>
      </c>
      <c r="BB59" s="51"/>
      <c r="BC59" s="50" t="e">
        <f>AY59-BA59</f>
        <v>#REF!</v>
      </c>
    </row>
    <row r="60" spans="1:55" ht="13.5" hidden="1" thickBot="1">
      <c r="A60" s="43">
        <v>80001</v>
      </c>
      <c r="B60" s="43">
        <v>180000</v>
      </c>
      <c r="C60" s="48">
        <f>B60-A60+1</f>
        <v>100000</v>
      </c>
      <c r="D60" s="45">
        <v>0.38</v>
      </c>
      <c r="E60" s="44"/>
      <c r="F60" s="50" t="e">
        <f>IF(G59='SME Servicing Calculator'!#REF!,0,IF(('SME Servicing Calculator'!#REF!-G59)&gt;C60,C60,('SME Servicing Calculator'!#REF!-G59)))</f>
        <v>#REF!</v>
      </c>
      <c r="G60" s="50" t="e">
        <f>G59+F60</f>
        <v>#REF!</v>
      </c>
      <c r="H60" s="50" t="e">
        <f>F60*D60</f>
        <v>#REF!</v>
      </c>
      <c r="I60" s="51"/>
      <c r="J60" s="50" t="e">
        <f>F60-H60</f>
        <v>#REF!</v>
      </c>
      <c r="P60" s="43">
        <v>80001</v>
      </c>
      <c r="Q60" s="43">
        <v>180000</v>
      </c>
      <c r="R60" s="48">
        <f>Q60-P60+1</f>
        <v>100000</v>
      </c>
      <c r="S60" s="45">
        <v>0.38</v>
      </c>
      <c r="T60" s="44"/>
      <c r="U60" s="50" t="e">
        <f>IF(V59='SME Servicing Calculator'!#REF!,0,IF(('SME Servicing Calculator'!#REF!-V59)&gt;R60,R60,('SME Servicing Calculator'!#REF!-V59)))</f>
        <v>#REF!</v>
      </c>
      <c r="V60" s="50" t="e">
        <f>V59+U60</f>
        <v>#REF!</v>
      </c>
      <c r="W60" s="50" t="e">
        <f>U60*S60</f>
        <v>#REF!</v>
      </c>
      <c r="X60" s="51"/>
      <c r="Y60" s="50" t="e">
        <f>U60-W60</f>
        <v>#REF!</v>
      </c>
      <c r="AA60" s="39"/>
      <c r="AE60" s="43">
        <v>80001</v>
      </c>
      <c r="AF60" s="43">
        <v>180000</v>
      </c>
      <c r="AG60" s="48">
        <f>AF60-AE60+1</f>
        <v>100000</v>
      </c>
      <c r="AH60" s="45">
        <v>0.38</v>
      </c>
      <c r="AI60" s="44"/>
      <c r="AJ60" s="50" t="e">
        <f>IF(AK59=#REF!,0,IF((#REF!-AK59)&gt;AG60,AG60,(#REF!-AK59)))</f>
        <v>#REF!</v>
      </c>
      <c r="AK60" s="50" t="e">
        <f>AK59+AJ60</f>
        <v>#REF!</v>
      </c>
      <c r="AL60" s="50" t="e">
        <f>AJ60*AH60</f>
        <v>#REF!</v>
      </c>
      <c r="AM60" s="51"/>
      <c r="AN60" s="50" t="e">
        <f>AJ60-AL60</f>
        <v>#REF!</v>
      </c>
      <c r="AT60" s="43">
        <v>80001</v>
      </c>
      <c r="AU60" s="43">
        <v>180000</v>
      </c>
      <c r="AV60" s="48">
        <f>AU60-AT60+1</f>
        <v>100000</v>
      </c>
      <c r="AW60" s="45">
        <v>0.38</v>
      </c>
      <c r="AX60" s="44"/>
      <c r="AY60" s="50" t="e">
        <f>IF(AZ59='SME Servicing Calculator'!#REF!,0,IF(('SME Servicing Calculator'!#REF!-AZ59)&gt;AV60,AV60,('SME Servicing Calculator'!#REF!-AZ59)))</f>
        <v>#REF!</v>
      </c>
      <c r="AZ60" s="50" t="e">
        <f>AZ59+AY60</f>
        <v>#REF!</v>
      </c>
      <c r="BA60" s="50" t="e">
        <f>AY60*AW60</f>
        <v>#REF!</v>
      </c>
      <c r="BB60" s="51"/>
      <c r="BC60" s="50" t="e">
        <f>AY60-BA60</f>
        <v>#REF!</v>
      </c>
    </row>
    <row r="61" spans="1:55" ht="13.5" hidden="1" thickBot="1">
      <c r="A61" s="43">
        <v>180001</v>
      </c>
      <c r="B61" s="43">
        <v>1000000</v>
      </c>
      <c r="C61" s="48">
        <f>B61-A61+1</f>
        <v>820000</v>
      </c>
      <c r="D61" s="45">
        <v>0.45</v>
      </c>
      <c r="E61" s="44"/>
      <c r="F61" s="50" t="e">
        <f>IF('SME Servicing Calculator'!#REF!-G60&lt;=0,0,('SME Servicing Calculator'!#REF!-G60))</f>
        <v>#REF!</v>
      </c>
      <c r="G61" s="50" t="e">
        <f>G60+F61</f>
        <v>#REF!</v>
      </c>
      <c r="H61" s="50" t="e">
        <f>F61*D61</f>
        <v>#REF!</v>
      </c>
      <c r="I61" s="51"/>
      <c r="J61" s="50" t="e">
        <f>F61-H61</f>
        <v>#REF!</v>
      </c>
      <c r="P61" s="43">
        <v>180001</v>
      </c>
      <c r="Q61" s="43">
        <v>1000000</v>
      </c>
      <c r="R61" s="48">
        <f>Q61-P61+1</f>
        <v>820000</v>
      </c>
      <c r="S61" s="45">
        <v>0.45</v>
      </c>
      <c r="T61" s="44"/>
      <c r="U61" s="50" t="e">
        <f>IF('SME Servicing Calculator'!#REF!-V60&lt;=0,0,('SME Servicing Calculator'!#REF!-V60))</f>
        <v>#REF!</v>
      </c>
      <c r="V61" s="50" t="e">
        <f>V60+U61</f>
        <v>#REF!</v>
      </c>
      <c r="W61" s="50" t="e">
        <f>U61*S61</f>
        <v>#REF!</v>
      </c>
      <c r="X61" s="51"/>
      <c r="Y61" s="50" t="e">
        <f>U61-W61</f>
        <v>#REF!</v>
      </c>
      <c r="AA61" s="39"/>
      <c r="AE61" s="43">
        <v>180001</v>
      </c>
      <c r="AF61" s="43">
        <v>1000000</v>
      </c>
      <c r="AG61" s="48">
        <f>AF61-AE61+1</f>
        <v>820000</v>
      </c>
      <c r="AH61" s="45">
        <v>0.45</v>
      </c>
      <c r="AI61" s="44"/>
      <c r="AJ61" s="50" t="e">
        <f>IF(#REF!-AK60&lt;=0,0,(#REF!-AK60))</f>
        <v>#REF!</v>
      </c>
      <c r="AK61" s="50" t="e">
        <f>AK60+AJ61</f>
        <v>#REF!</v>
      </c>
      <c r="AL61" s="50" t="e">
        <f>AJ61*AH61</f>
        <v>#REF!</v>
      </c>
      <c r="AM61" s="51"/>
      <c r="AN61" s="50" t="e">
        <f>AJ61-AL61</f>
        <v>#REF!</v>
      </c>
      <c r="AT61" s="43">
        <v>180001</v>
      </c>
      <c r="AU61" s="43">
        <v>1000000</v>
      </c>
      <c r="AV61" s="48">
        <f>AU61-AT61+1</f>
        <v>820000</v>
      </c>
      <c r="AW61" s="45">
        <v>0.45</v>
      </c>
      <c r="AX61" s="44"/>
      <c r="AY61" s="50" t="e">
        <f>IF('SME Servicing Calculator'!#REF!-AZ60&lt;=0,0,('SME Servicing Calculator'!#REF!-AZ60))</f>
        <v>#REF!</v>
      </c>
      <c r="AZ61" s="50" t="e">
        <f>AZ60+AY61</f>
        <v>#REF!</v>
      </c>
      <c r="BA61" s="50" t="e">
        <f>AY61*AW61</f>
        <v>#REF!</v>
      </c>
      <c r="BB61" s="51"/>
      <c r="BC61" s="50" t="e">
        <f>AY61-BA61</f>
        <v>#REF!</v>
      </c>
    </row>
    <row r="62" spans="1:55" ht="13.5" hidden="1" thickBot="1">
      <c r="A62" s="48"/>
      <c r="B62" s="48"/>
      <c r="C62" s="46"/>
      <c r="D62" s="52" t="s">
        <v>59</v>
      </c>
      <c r="E62" s="44"/>
      <c r="F62" s="50" t="e">
        <f>SUM(F57:F61)</f>
        <v>#REF!</v>
      </c>
      <c r="G62" s="50"/>
      <c r="H62" s="50" t="e">
        <f>SUM(H57:H61)</f>
        <v>#REF!</v>
      </c>
      <c r="I62" s="51"/>
      <c r="J62" s="50" t="e">
        <f>SUM(J57:J61)</f>
        <v>#REF!</v>
      </c>
      <c r="P62" s="48"/>
      <c r="Q62" s="48"/>
      <c r="R62" s="46"/>
      <c r="S62" s="52" t="s">
        <v>59</v>
      </c>
      <c r="T62" s="44"/>
      <c r="U62" s="50" t="e">
        <f>SUM(U57:U61)</f>
        <v>#REF!</v>
      </c>
      <c r="V62" s="50"/>
      <c r="W62" s="50" t="e">
        <f>SUM(W57:W61)</f>
        <v>#REF!</v>
      </c>
      <c r="X62" s="51"/>
      <c r="Y62" s="50" t="e">
        <f>SUM(Y57:Y61)</f>
        <v>#REF!</v>
      </c>
      <c r="AA62" s="39"/>
      <c r="AE62" s="48"/>
      <c r="AF62" s="48"/>
      <c r="AG62" s="46"/>
      <c r="AH62" s="52" t="s">
        <v>59</v>
      </c>
      <c r="AI62" s="44"/>
      <c r="AJ62" s="50" t="e">
        <f>SUM(AJ57:AJ61)</f>
        <v>#REF!</v>
      </c>
      <c r="AK62" s="50"/>
      <c r="AL62" s="50" t="e">
        <f>SUM(AL57:AL61)</f>
        <v>#REF!</v>
      </c>
      <c r="AM62" s="51"/>
      <c r="AN62" s="50" t="e">
        <f>SUM(AN57:AN61)</f>
        <v>#REF!</v>
      </c>
      <c r="AT62" s="48"/>
      <c r="AU62" s="48"/>
      <c r="AV62" s="46"/>
      <c r="AW62" s="52" t="s">
        <v>59</v>
      </c>
      <c r="AX62" s="44"/>
      <c r="AY62" s="50" t="e">
        <f>SUM(AY57:AY61)</f>
        <v>#REF!</v>
      </c>
      <c r="AZ62" s="50"/>
      <c r="BA62" s="50" t="e">
        <f>SUM(BA57:BA61)</f>
        <v>#REF!</v>
      </c>
      <c r="BB62" s="51"/>
      <c r="BC62" s="50" t="e">
        <f>SUM(BC57:BC61)</f>
        <v>#REF!</v>
      </c>
    </row>
    <row r="63" spans="1:55" hidden="1">
      <c r="A63" s="70" t="e">
        <f>F62*(1.5/100)/12</f>
        <v>#REF!</v>
      </c>
      <c r="B63" s="46" t="s">
        <v>70</v>
      </c>
      <c r="C63" s="46"/>
      <c r="E63" s="44"/>
      <c r="F63" s="43"/>
      <c r="G63" s="43"/>
      <c r="H63" s="43"/>
      <c r="I63" s="43"/>
      <c r="J63" s="43"/>
      <c r="P63" s="70" t="e">
        <f>U62*(1.5/100)/12</f>
        <v>#REF!</v>
      </c>
      <c r="Q63" s="46" t="s">
        <v>70</v>
      </c>
      <c r="R63" s="46"/>
      <c r="T63" s="44"/>
      <c r="U63" s="43"/>
      <c r="V63" s="43"/>
      <c r="W63" s="43"/>
      <c r="X63" s="43"/>
      <c r="Y63" s="43"/>
      <c r="AA63" s="39"/>
      <c r="AE63" s="70" t="e">
        <f>AJ62*(1.5/100)/12</f>
        <v>#REF!</v>
      </c>
      <c r="AF63" s="46" t="s">
        <v>70</v>
      </c>
      <c r="AG63" s="46"/>
      <c r="AI63" s="44"/>
      <c r="AJ63" s="43"/>
      <c r="AK63" s="43"/>
      <c r="AL63" s="43"/>
      <c r="AM63" s="43"/>
      <c r="AN63" s="43"/>
      <c r="AT63" s="70" t="e">
        <f>AY62*(1.5/100)/12</f>
        <v>#REF!</v>
      </c>
      <c r="AU63" s="46" t="s">
        <v>70</v>
      </c>
      <c r="AV63" s="46"/>
      <c r="AX63" s="44"/>
      <c r="AY63" s="43"/>
      <c r="AZ63" s="43"/>
      <c r="BA63" s="43"/>
      <c r="BB63" s="43"/>
      <c r="BC63" s="43"/>
    </row>
    <row r="64" spans="1:55" ht="13.5" hidden="1" thickBot="1">
      <c r="A64" s="48"/>
      <c r="B64" s="47"/>
      <c r="C64" s="46"/>
      <c r="D64" s="45"/>
      <c r="E64" s="44"/>
      <c r="F64" s="43"/>
      <c r="G64" s="43"/>
      <c r="H64" s="42" t="s">
        <v>33</v>
      </c>
      <c r="I64" s="41"/>
      <c r="J64" s="40" t="e">
        <f>(J62/12)-A63</f>
        <v>#REF!</v>
      </c>
      <c r="P64" s="48"/>
      <c r="Q64" s="47"/>
      <c r="R64" s="46"/>
      <c r="S64" s="45"/>
      <c r="T64" s="44"/>
      <c r="U64" s="43"/>
      <c r="V64" s="43"/>
      <c r="W64" s="42" t="s">
        <v>33</v>
      </c>
      <c r="X64" s="41"/>
      <c r="Y64" s="40" t="e">
        <f>(Y62/12)-P63</f>
        <v>#REF!</v>
      </c>
      <c r="AA64" s="39"/>
      <c r="AE64" s="48"/>
      <c r="AF64" s="47"/>
      <c r="AG64" s="46"/>
      <c r="AH64" s="45"/>
      <c r="AI64" s="44"/>
      <c r="AJ64" s="43"/>
      <c r="AK64" s="43"/>
      <c r="AL64" s="42" t="s">
        <v>33</v>
      </c>
      <c r="AM64" s="41"/>
      <c r="AN64" s="40" t="e">
        <f>(AN62/12)-AE63</f>
        <v>#REF!</v>
      </c>
      <c r="AT64" s="48"/>
      <c r="AU64" s="47"/>
      <c r="AV64" s="46"/>
      <c r="AW64" s="45"/>
      <c r="AX64" s="44"/>
      <c r="AY64" s="43"/>
      <c r="AZ64" s="43"/>
      <c r="BA64" s="42" t="s">
        <v>33</v>
      </c>
      <c r="BB64" s="41"/>
      <c r="BC64" s="40" t="e">
        <f>(BC62/12)-AT63</f>
        <v>#REF!</v>
      </c>
    </row>
    <row r="65" spans="1:55" hidden="1">
      <c r="A65" s="46"/>
      <c r="B65" s="46"/>
      <c r="C65" s="46"/>
      <c r="E65" s="46"/>
      <c r="F65" s="46"/>
      <c r="G65" s="46"/>
      <c r="H65" s="46"/>
      <c r="I65" s="46"/>
      <c r="J65" s="46"/>
      <c r="P65" s="46"/>
      <c r="Q65" s="46"/>
      <c r="R65" s="46"/>
      <c r="T65" s="46"/>
      <c r="U65" s="46"/>
      <c r="V65" s="46"/>
      <c r="W65" s="46"/>
      <c r="X65" s="46"/>
      <c r="Y65" s="46"/>
      <c r="AA65" s="39"/>
      <c r="AE65" s="46"/>
      <c r="AF65" s="46"/>
      <c r="AG65" s="46"/>
      <c r="AI65" s="46"/>
      <c r="AJ65" s="46"/>
      <c r="AK65" s="46"/>
      <c r="AL65" s="46"/>
      <c r="AM65" s="46"/>
      <c r="AN65" s="46"/>
      <c r="AT65" s="46"/>
      <c r="AU65" s="46"/>
      <c r="AV65" s="46"/>
      <c r="AX65" s="46"/>
      <c r="AY65" s="46"/>
      <c r="AZ65" s="46"/>
      <c r="BA65" s="46"/>
      <c r="BB65" s="46"/>
      <c r="BC65" s="46"/>
    </row>
    <row r="66" spans="1:55" hidden="1">
      <c r="A66" s="90" t="s">
        <v>81</v>
      </c>
      <c r="B66" s="90"/>
      <c r="C66" s="90"/>
      <c r="D66" s="90"/>
      <c r="E66" s="90"/>
      <c r="F66" s="90"/>
      <c r="G66" s="90"/>
      <c r="H66" s="91"/>
      <c r="I66" s="91"/>
      <c r="J66" s="91"/>
      <c r="P66" s="90" t="s">
        <v>81</v>
      </c>
      <c r="Q66" s="90"/>
      <c r="R66" s="90"/>
      <c r="S66" s="90"/>
      <c r="T66" s="90"/>
      <c r="U66" s="90"/>
      <c r="V66" s="90"/>
      <c r="W66" s="91"/>
      <c r="X66" s="91"/>
      <c r="Y66" s="91"/>
      <c r="AA66" s="39"/>
      <c r="AE66" s="90" t="s">
        <v>81</v>
      </c>
      <c r="AF66" s="90"/>
      <c r="AG66" s="90"/>
      <c r="AH66" s="90"/>
      <c r="AI66" s="90"/>
      <c r="AJ66" s="90"/>
      <c r="AK66" s="90"/>
      <c r="AL66" s="91"/>
      <c r="AM66" s="91"/>
      <c r="AN66" s="91"/>
      <c r="AT66" s="90" t="s">
        <v>81</v>
      </c>
      <c r="AU66" s="90"/>
      <c r="AV66" s="90"/>
      <c r="AW66" s="90"/>
      <c r="AX66" s="90"/>
      <c r="AY66" s="90"/>
      <c r="AZ66" s="90"/>
      <c r="BA66" s="91"/>
      <c r="BB66" s="91"/>
      <c r="BC66" s="91"/>
    </row>
    <row r="67" spans="1:55" hidden="1">
      <c r="A67" s="57" t="s">
        <v>64</v>
      </c>
      <c r="B67" s="57"/>
      <c r="C67" s="46"/>
      <c r="D67" s="57" t="s">
        <v>63</v>
      </c>
      <c r="E67" s="46"/>
      <c r="F67" s="56" t="s">
        <v>62</v>
      </c>
      <c r="G67" s="56"/>
      <c r="H67" s="56" t="s">
        <v>61</v>
      </c>
      <c r="I67" s="56"/>
      <c r="J67" s="56" t="s">
        <v>60</v>
      </c>
      <c r="P67" s="57" t="s">
        <v>64</v>
      </c>
      <c r="Q67" s="57"/>
      <c r="R67" s="46"/>
      <c r="S67" s="57" t="s">
        <v>63</v>
      </c>
      <c r="T67" s="46"/>
      <c r="U67" s="56" t="s">
        <v>62</v>
      </c>
      <c r="V67" s="56"/>
      <c r="W67" s="56" t="s">
        <v>61</v>
      </c>
      <c r="X67" s="56"/>
      <c r="Y67" s="56" t="s">
        <v>60</v>
      </c>
      <c r="AA67" s="39"/>
      <c r="AE67" s="57" t="s">
        <v>64</v>
      </c>
      <c r="AF67" s="57"/>
      <c r="AG67" s="46"/>
      <c r="AH67" s="57" t="s">
        <v>63</v>
      </c>
      <c r="AI67" s="46"/>
      <c r="AJ67" s="56" t="s">
        <v>62</v>
      </c>
      <c r="AK67" s="56"/>
      <c r="AL67" s="56" t="s">
        <v>61</v>
      </c>
      <c r="AM67" s="56"/>
      <c r="AN67" s="56" t="s">
        <v>60</v>
      </c>
      <c r="AT67" s="57" t="s">
        <v>64</v>
      </c>
      <c r="AU67" s="57"/>
      <c r="AV67" s="46"/>
      <c r="AW67" s="57" t="s">
        <v>63</v>
      </c>
      <c r="AX67" s="46"/>
      <c r="AY67" s="56" t="s">
        <v>62</v>
      </c>
      <c r="AZ67" s="56"/>
      <c r="BA67" s="56" t="s">
        <v>61</v>
      </c>
      <c r="BB67" s="56"/>
      <c r="BC67" s="56" t="s">
        <v>60</v>
      </c>
    </row>
    <row r="68" spans="1:55" ht="13.5" hidden="1" thickBot="1">
      <c r="A68" s="43">
        <v>1</v>
      </c>
      <c r="B68" s="43">
        <v>6000</v>
      </c>
      <c r="C68" s="48">
        <f>B68-A68+1</f>
        <v>6000</v>
      </c>
      <c r="D68" s="45">
        <v>0</v>
      </c>
      <c r="E68" s="44"/>
      <c r="F68" s="50" t="e">
        <f>IF('SME Servicing Calculator'!#REF!&lt;B68,'SME Servicing Calculator'!#REF!,C68)</f>
        <v>#REF!</v>
      </c>
      <c r="G68" s="50" t="e">
        <f>F68</f>
        <v>#REF!</v>
      </c>
      <c r="H68" s="50" t="e">
        <f>F68*D68</f>
        <v>#REF!</v>
      </c>
      <c r="I68" s="51"/>
      <c r="J68" s="50" t="e">
        <f>F68-H68</f>
        <v>#REF!</v>
      </c>
      <c r="P68" s="43">
        <v>1</v>
      </c>
      <c r="Q68" s="43">
        <v>6000</v>
      </c>
      <c r="R68" s="48">
        <f>Q68-P68+1</f>
        <v>6000</v>
      </c>
      <c r="S68" s="45">
        <v>0</v>
      </c>
      <c r="T68" s="44"/>
      <c r="U68" s="50" t="e">
        <f>IF('SME Servicing Calculator'!#REF!&lt;Q68,'SME Servicing Calculator'!#REF!,R68)</f>
        <v>#REF!</v>
      </c>
      <c r="V68" s="50" t="e">
        <f>U68</f>
        <v>#REF!</v>
      </c>
      <c r="W68" s="50" t="e">
        <f>U68*S68</f>
        <v>#REF!</v>
      </c>
      <c r="X68" s="51"/>
      <c r="Y68" s="50" t="e">
        <f>U68-W68</f>
        <v>#REF!</v>
      </c>
      <c r="AA68" s="39"/>
      <c r="AE68" s="43">
        <v>1</v>
      </c>
      <c r="AF68" s="43">
        <v>6000</v>
      </c>
      <c r="AG68" s="48">
        <f>AF68-AE68+1</f>
        <v>6000</v>
      </c>
      <c r="AH68" s="45">
        <v>0</v>
      </c>
      <c r="AI68" s="44"/>
      <c r="AJ68" s="50" t="e">
        <f>IF(#REF!&lt;AF68,#REF!,AG68)</f>
        <v>#REF!</v>
      </c>
      <c r="AK68" s="50" t="e">
        <f>AJ68</f>
        <v>#REF!</v>
      </c>
      <c r="AL68" s="50" t="e">
        <f>AJ68*AH68</f>
        <v>#REF!</v>
      </c>
      <c r="AM68" s="51"/>
      <c r="AN68" s="50" t="e">
        <f>AJ68-AL68</f>
        <v>#REF!</v>
      </c>
      <c r="AT68" s="43">
        <v>1</v>
      </c>
      <c r="AU68" s="43">
        <v>6000</v>
      </c>
      <c r="AV68" s="48">
        <f>AU68-AT68+1</f>
        <v>6000</v>
      </c>
      <c r="AW68" s="45">
        <v>0</v>
      </c>
      <c r="AX68" s="44"/>
      <c r="AY68" s="50" t="e">
        <f>IF('SME Servicing Calculator'!#REF!&lt;AU68,'SME Servicing Calculator'!#REF!,AV68)</f>
        <v>#REF!</v>
      </c>
      <c r="AZ68" s="50" t="e">
        <f>AY68</f>
        <v>#REF!</v>
      </c>
      <c r="BA68" s="50" t="e">
        <f>AY68*AW68</f>
        <v>#REF!</v>
      </c>
      <c r="BB68" s="51"/>
      <c r="BC68" s="50" t="e">
        <f>AY68-BA68</f>
        <v>#REF!</v>
      </c>
    </row>
    <row r="69" spans="1:55" ht="13.5" hidden="1" thickBot="1">
      <c r="A69" s="43">
        <v>6001</v>
      </c>
      <c r="B69" s="43">
        <v>35000</v>
      </c>
      <c r="C69" s="48">
        <f>B69-A69+1</f>
        <v>29000</v>
      </c>
      <c r="D69" s="45">
        <v>0.15</v>
      </c>
      <c r="E69" s="44"/>
      <c r="F69" s="50" t="e">
        <f>IF(G68='SME Servicing Calculator'!#REF!,0,IF(('SME Servicing Calculator'!#REF!-G68)&gt;C69,C69,('SME Servicing Calculator'!#REF!-G68)))</f>
        <v>#REF!</v>
      </c>
      <c r="G69" s="50" t="e">
        <f>G68+F69</f>
        <v>#REF!</v>
      </c>
      <c r="H69" s="50" t="e">
        <f>F69*D69</f>
        <v>#REF!</v>
      </c>
      <c r="I69" s="51"/>
      <c r="J69" s="50" t="e">
        <f>F69-H69</f>
        <v>#REF!</v>
      </c>
      <c r="P69" s="43">
        <v>6001</v>
      </c>
      <c r="Q69" s="43">
        <v>35000</v>
      </c>
      <c r="R69" s="48">
        <f>Q69-P69+1</f>
        <v>29000</v>
      </c>
      <c r="S69" s="45">
        <v>0.15</v>
      </c>
      <c r="T69" s="44"/>
      <c r="U69" s="50" t="e">
        <f>IF(V68='SME Servicing Calculator'!#REF!,0,IF(('SME Servicing Calculator'!#REF!-V68)&gt;R69,R69,('SME Servicing Calculator'!#REF!-V68)))</f>
        <v>#REF!</v>
      </c>
      <c r="V69" s="50" t="e">
        <f>V68+U69</f>
        <v>#REF!</v>
      </c>
      <c r="W69" s="50" t="e">
        <f>U69*S69</f>
        <v>#REF!</v>
      </c>
      <c r="X69" s="51"/>
      <c r="Y69" s="50" t="e">
        <f>U69-W69</f>
        <v>#REF!</v>
      </c>
      <c r="AA69" s="39"/>
      <c r="AE69" s="43">
        <v>6001</v>
      </c>
      <c r="AF69" s="43">
        <v>35000</v>
      </c>
      <c r="AG69" s="48">
        <f>AF69-AE69+1</f>
        <v>29000</v>
      </c>
      <c r="AH69" s="45">
        <v>0.15</v>
      </c>
      <c r="AI69" s="44"/>
      <c r="AJ69" s="50" t="e">
        <f>IF(AK68=#REF!,0,IF((#REF!-AK68)&gt;AG69,AG69,(#REF!-AK68)))</f>
        <v>#REF!</v>
      </c>
      <c r="AK69" s="50" t="e">
        <f>AK68+AJ69</f>
        <v>#REF!</v>
      </c>
      <c r="AL69" s="50" t="e">
        <f>AJ69*AH69</f>
        <v>#REF!</v>
      </c>
      <c r="AM69" s="51"/>
      <c r="AN69" s="50" t="e">
        <f>AJ69-AL69</f>
        <v>#REF!</v>
      </c>
      <c r="AT69" s="43">
        <v>6001</v>
      </c>
      <c r="AU69" s="43">
        <v>35000</v>
      </c>
      <c r="AV69" s="48">
        <f>AU69-AT69+1</f>
        <v>29000</v>
      </c>
      <c r="AW69" s="45">
        <v>0.15</v>
      </c>
      <c r="AX69" s="44"/>
      <c r="AY69" s="50" t="e">
        <f>IF(AZ68='SME Servicing Calculator'!#REF!,0,IF(('SME Servicing Calculator'!#REF!-AZ68)&gt;AV69,AV69,('SME Servicing Calculator'!#REF!-AZ68)))</f>
        <v>#REF!</v>
      </c>
      <c r="AZ69" s="50" t="e">
        <f>AZ68+AY69</f>
        <v>#REF!</v>
      </c>
      <c r="BA69" s="50" t="e">
        <f>AY69*AW69</f>
        <v>#REF!</v>
      </c>
      <c r="BB69" s="51"/>
      <c r="BC69" s="50" t="e">
        <f>AY69-BA69</f>
        <v>#REF!</v>
      </c>
    </row>
    <row r="70" spans="1:55" ht="13.5" hidden="1" thickBot="1">
      <c r="A70" s="43">
        <v>35001</v>
      </c>
      <c r="B70" s="43">
        <v>80000</v>
      </c>
      <c r="C70" s="48">
        <f>B70-A70+1</f>
        <v>45000</v>
      </c>
      <c r="D70" s="45">
        <v>0.3</v>
      </c>
      <c r="E70" s="44"/>
      <c r="F70" s="50" t="e">
        <f>IF(G69='SME Servicing Calculator'!#REF!,0,IF(('SME Servicing Calculator'!#REF!-G69)&gt;C70,C70,('SME Servicing Calculator'!#REF!-G69)))</f>
        <v>#REF!</v>
      </c>
      <c r="G70" s="50" t="e">
        <f>G69+F70</f>
        <v>#REF!</v>
      </c>
      <c r="H70" s="50" t="e">
        <f>F70*D70</f>
        <v>#REF!</v>
      </c>
      <c r="I70" s="51"/>
      <c r="J70" s="50" t="e">
        <f>F70-H70</f>
        <v>#REF!</v>
      </c>
      <c r="P70" s="43">
        <v>35001</v>
      </c>
      <c r="Q70" s="43">
        <v>80000</v>
      </c>
      <c r="R70" s="48">
        <f>Q70-P70+1</f>
        <v>45000</v>
      </c>
      <c r="S70" s="45">
        <v>0.3</v>
      </c>
      <c r="T70" s="44"/>
      <c r="U70" s="50" t="e">
        <f>IF(V69='SME Servicing Calculator'!#REF!,0,IF(('SME Servicing Calculator'!#REF!-V69)&gt;R70,R70,('SME Servicing Calculator'!#REF!-V69)))</f>
        <v>#REF!</v>
      </c>
      <c r="V70" s="50" t="e">
        <f>V69+U70</f>
        <v>#REF!</v>
      </c>
      <c r="W70" s="50" t="e">
        <f>U70*S70</f>
        <v>#REF!</v>
      </c>
      <c r="X70" s="51"/>
      <c r="Y70" s="50" t="e">
        <f>U70-W70</f>
        <v>#REF!</v>
      </c>
      <c r="AA70" s="39"/>
      <c r="AE70" s="43">
        <v>35001</v>
      </c>
      <c r="AF70" s="43">
        <v>80000</v>
      </c>
      <c r="AG70" s="48">
        <f>AF70-AE70+1</f>
        <v>45000</v>
      </c>
      <c r="AH70" s="45">
        <v>0.3</v>
      </c>
      <c r="AI70" s="44"/>
      <c r="AJ70" s="50" t="e">
        <f>IF(AK69=#REF!,0,IF((#REF!-AK69)&gt;AG70,AG70,(#REF!-AK69)))</f>
        <v>#REF!</v>
      </c>
      <c r="AK70" s="50" t="e">
        <f>AK69+AJ70</f>
        <v>#REF!</v>
      </c>
      <c r="AL70" s="50" t="e">
        <f>AJ70*AH70</f>
        <v>#REF!</v>
      </c>
      <c r="AM70" s="51"/>
      <c r="AN70" s="50" t="e">
        <f>AJ70-AL70</f>
        <v>#REF!</v>
      </c>
      <c r="AT70" s="43">
        <v>35001</v>
      </c>
      <c r="AU70" s="43">
        <v>80000</v>
      </c>
      <c r="AV70" s="48">
        <f>AU70-AT70+1</f>
        <v>45000</v>
      </c>
      <c r="AW70" s="45">
        <v>0.3</v>
      </c>
      <c r="AX70" s="44"/>
      <c r="AY70" s="50" t="e">
        <f>IF(AZ69='SME Servicing Calculator'!#REF!,0,IF(('SME Servicing Calculator'!#REF!-AZ69)&gt;AV70,AV70,('SME Servicing Calculator'!#REF!-AZ69)))</f>
        <v>#REF!</v>
      </c>
      <c r="AZ70" s="50" t="e">
        <f>AZ69+AY70</f>
        <v>#REF!</v>
      </c>
      <c r="BA70" s="50" t="e">
        <f>AY70*AW70</f>
        <v>#REF!</v>
      </c>
      <c r="BB70" s="51"/>
      <c r="BC70" s="50" t="e">
        <f>AY70-BA70</f>
        <v>#REF!</v>
      </c>
    </row>
    <row r="71" spans="1:55" ht="13.5" hidden="1" thickBot="1">
      <c r="A71" s="43">
        <v>80001</v>
      </c>
      <c r="B71" s="43">
        <v>180000</v>
      </c>
      <c r="C71" s="48">
        <f>B71-A71+1</f>
        <v>100000</v>
      </c>
      <c r="D71" s="45">
        <v>0.38</v>
      </c>
      <c r="E71" s="44"/>
      <c r="F71" s="50" t="e">
        <f>IF(G70='SME Servicing Calculator'!#REF!,0,IF(('SME Servicing Calculator'!#REF!-G70)&gt;C71,C71,('SME Servicing Calculator'!#REF!-G70)))</f>
        <v>#REF!</v>
      </c>
      <c r="G71" s="50" t="e">
        <f>G70+F71</f>
        <v>#REF!</v>
      </c>
      <c r="H71" s="50" t="e">
        <f>F71*D71</f>
        <v>#REF!</v>
      </c>
      <c r="I71" s="51"/>
      <c r="J71" s="50" t="e">
        <f>F71-H71</f>
        <v>#REF!</v>
      </c>
      <c r="P71" s="43">
        <v>80001</v>
      </c>
      <c r="Q71" s="43">
        <v>180000</v>
      </c>
      <c r="R71" s="48">
        <f>Q71-P71+1</f>
        <v>100000</v>
      </c>
      <c r="S71" s="45">
        <v>0.38</v>
      </c>
      <c r="T71" s="44"/>
      <c r="U71" s="50" t="e">
        <f>IF(V70='SME Servicing Calculator'!#REF!,0,IF(('SME Servicing Calculator'!#REF!-V70)&gt;R71,R71,('SME Servicing Calculator'!#REF!-V70)))</f>
        <v>#REF!</v>
      </c>
      <c r="V71" s="50" t="e">
        <f>V70+U71</f>
        <v>#REF!</v>
      </c>
      <c r="W71" s="50" t="e">
        <f>U71*S71</f>
        <v>#REF!</v>
      </c>
      <c r="X71" s="51"/>
      <c r="Y71" s="50" t="e">
        <f>U71-W71</f>
        <v>#REF!</v>
      </c>
      <c r="AA71" s="39"/>
      <c r="AE71" s="43">
        <v>80001</v>
      </c>
      <c r="AF71" s="43">
        <v>180000</v>
      </c>
      <c r="AG71" s="48">
        <f>AF71-AE71+1</f>
        <v>100000</v>
      </c>
      <c r="AH71" s="45">
        <v>0.38</v>
      </c>
      <c r="AI71" s="44"/>
      <c r="AJ71" s="50" t="e">
        <f>IF(AK70=#REF!,0,IF((#REF!-AK70)&gt;AG71,AG71,(#REF!-AK70)))</f>
        <v>#REF!</v>
      </c>
      <c r="AK71" s="50" t="e">
        <f>AK70+AJ71</f>
        <v>#REF!</v>
      </c>
      <c r="AL71" s="50" t="e">
        <f>AJ71*AH71</f>
        <v>#REF!</v>
      </c>
      <c r="AM71" s="51"/>
      <c r="AN71" s="50" t="e">
        <f>AJ71-AL71</f>
        <v>#REF!</v>
      </c>
      <c r="AT71" s="43">
        <v>80001</v>
      </c>
      <c r="AU71" s="43">
        <v>180000</v>
      </c>
      <c r="AV71" s="48">
        <f>AU71-AT71+1</f>
        <v>100000</v>
      </c>
      <c r="AW71" s="45">
        <v>0.38</v>
      </c>
      <c r="AX71" s="44"/>
      <c r="AY71" s="50" t="e">
        <f>IF(AZ70='SME Servicing Calculator'!#REF!,0,IF(('SME Servicing Calculator'!#REF!-AZ70)&gt;AV71,AV71,('SME Servicing Calculator'!#REF!-AZ70)))</f>
        <v>#REF!</v>
      </c>
      <c r="AZ71" s="50" t="e">
        <f>AZ70+AY71</f>
        <v>#REF!</v>
      </c>
      <c r="BA71" s="50" t="e">
        <f>AY71*AW71</f>
        <v>#REF!</v>
      </c>
      <c r="BB71" s="51"/>
      <c r="BC71" s="50" t="e">
        <f>AY71-BA71</f>
        <v>#REF!</v>
      </c>
    </row>
    <row r="72" spans="1:55" ht="13.5" hidden="1" thickBot="1">
      <c r="A72" s="43">
        <v>180001</v>
      </c>
      <c r="B72" s="43">
        <v>1000000</v>
      </c>
      <c r="C72" s="48">
        <f>B72-A72+1</f>
        <v>820000</v>
      </c>
      <c r="D72" s="45">
        <v>0.45</v>
      </c>
      <c r="E72" s="44"/>
      <c r="F72" s="50" t="e">
        <f>IF('SME Servicing Calculator'!#REF!-G71&lt;=0,0,('SME Servicing Calculator'!#REF!-G71))</f>
        <v>#REF!</v>
      </c>
      <c r="G72" s="50" t="e">
        <f>G71+F72</f>
        <v>#REF!</v>
      </c>
      <c r="H72" s="50" t="e">
        <f>F72*D72</f>
        <v>#REF!</v>
      </c>
      <c r="I72" s="51"/>
      <c r="J72" s="50" t="e">
        <f>F72-H72</f>
        <v>#REF!</v>
      </c>
      <c r="P72" s="43">
        <v>180001</v>
      </c>
      <c r="Q72" s="43">
        <v>1000000</v>
      </c>
      <c r="R72" s="48">
        <f>Q72-P72+1</f>
        <v>820000</v>
      </c>
      <c r="S72" s="45">
        <v>0.45</v>
      </c>
      <c r="T72" s="44"/>
      <c r="U72" s="50" t="e">
        <f>IF('SME Servicing Calculator'!#REF!-V71&lt;=0,0,('SME Servicing Calculator'!#REF!-V71))</f>
        <v>#REF!</v>
      </c>
      <c r="V72" s="50" t="e">
        <f>V71+U72</f>
        <v>#REF!</v>
      </c>
      <c r="W72" s="50" t="e">
        <f>U72*S72</f>
        <v>#REF!</v>
      </c>
      <c r="X72" s="51"/>
      <c r="Y72" s="50" t="e">
        <f>U72-W72</f>
        <v>#REF!</v>
      </c>
      <c r="AA72" s="39"/>
      <c r="AE72" s="43">
        <v>180001</v>
      </c>
      <c r="AF72" s="43">
        <v>1000000</v>
      </c>
      <c r="AG72" s="48">
        <f>AF72-AE72+1</f>
        <v>820000</v>
      </c>
      <c r="AH72" s="45">
        <v>0.45</v>
      </c>
      <c r="AI72" s="44"/>
      <c r="AJ72" s="50" t="e">
        <f>IF(#REF!-AK71&lt;=0,0,(#REF!-AK71))</f>
        <v>#REF!</v>
      </c>
      <c r="AK72" s="50" t="e">
        <f>AK71+AJ72</f>
        <v>#REF!</v>
      </c>
      <c r="AL72" s="50" t="e">
        <f>AJ72*AH72</f>
        <v>#REF!</v>
      </c>
      <c r="AM72" s="51"/>
      <c r="AN72" s="50" t="e">
        <f>AJ72-AL72</f>
        <v>#REF!</v>
      </c>
      <c r="AT72" s="43">
        <v>180001</v>
      </c>
      <c r="AU72" s="43">
        <v>1000000</v>
      </c>
      <c r="AV72" s="48">
        <f>AU72-AT72+1</f>
        <v>820000</v>
      </c>
      <c r="AW72" s="45">
        <v>0.45</v>
      </c>
      <c r="AX72" s="44"/>
      <c r="AY72" s="50" t="e">
        <f>IF('SME Servicing Calculator'!#REF!-AZ71&lt;=0,0,('SME Servicing Calculator'!#REF!-AZ71))</f>
        <v>#REF!</v>
      </c>
      <c r="AZ72" s="50" t="e">
        <f>AZ71+AY72</f>
        <v>#REF!</v>
      </c>
      <c r="BA72" s="50" t="e">
        <f>AY72*AW72</f>
        <v>#REF!</v>
      </c>
      <c r="BB72" s="51"/>
      <c r="BC72" s="50" t="e">
        <f>AY72-BA72</f>
        <v>#REF!</v>
      </c>
    </row>
    <row r="73" spans="1:55" ht="13.5" hidden="1" thickBot="1">
      <c r="A73" s="48"/>
      <c r="B73" s="48"/>
      <c r="C73" s="46"/>
      <c r="D73" s="52" t="s">
        <v>59</v>
      </c>
      <c r="E73" s="44"/>
      <c r="F73" s="50" t="e">
        <f>SUM(F68:F72)</f>
        <v>#REF!</v>
      </c>
      <c r="G73" s="50"/>
      <c r="H73" s="50" t="e">
        <f>SUM(H68:H72)</f>
        <v>#REF!</v>
      </c>
      <c r="I73" s="51"/>
      <c r="J73" s="50" t="e">
        <f>SUM(J68:J72)</f>
        <v>#REF!</v>
      </c>
      <c r="P73" s="48"/>
      <c r="Q73" s="48"/>
      <c r="R73" s="46"/>
      <c r="S73" s="52" t="s">
        <v>59</v>
      </c>
      <c r="T73" s="44"/>
      <c r="U73" s="50" t="e">
        <f>SUM(U68:U72)</f>
        <v>#REF!</v>
      </c>
      <c r="V73" s="50"/>
      <c r="W73" s="50" t="e">
        <f>SUM(W68:W72)</f>
        <v>#REF!</v>
      </c>
      <c r="X73" s="51"/>
      <c r="Y73" s="50" t="e">
        <f>SUM(Y68:Y72)</f>
        <v>#REF!</v>
      </c>
      <c r="AA73" s="39"/>
      <c r="AE73" s="48"/>
      <c r="AF73" s="48"/>
      <c r="AG73" s="46"/>
      <c r="AH73" s="52" t="s">
        <v>59</v>
      </c>
      <c r="AI73" s="44"/>
      <c r="AJ73" s="50" t="e">
        <f>SUM(AJ68:AJ72)</f>
        <v>#REF!</v>
      </c>
      <c r="AK73" s="50"/>
      <c r="AL73" s="50" t="e">
        <f>SUM(AL68:AL72)</f>
        <v>#REF!</v>
      </c>
      <c r="AM73" s="51"/>
      <c r="AN73" s="50" t="e">
        <f>SUM(AN68:AN72)</f>
        <v>#REF!</v>
      </c>
      <c r="AT73" s="48"/>
      <c r="AU73" s="48"/>
      <c r="AV73" s="46"/>
      <c r="AW73" s="52" t="s">
        <v>59</v>
      </c>
      <c r="AX73" s="44"/>
      <c r="AY73" s="50" t="e">
        <f>SUM(AY68:AY72)</f>
        <v>#REF!</v>
      </c>
      <c r="AZ73" s="50"/>
      <c r="BA73" s="50" t="e">
        <f>SUM(BA68:BA72)</f>
        <v>#REF!</v>
      </c>
      <c r="BB73" s="51"/>
      <c r="BC73" s="50" t="e">
        <f>SUM(BC68:BC72)</f>
        <v>#REF!</v>
      </c>
    </row>
    <row r="74" spans="1:55" hidden="1">
      <c r="A74" s="70" t="e">
        <f>F73*(1.5/100)/12</f>
        <v>#REF!</v>
      </c>
      <c r="B74" s="46" t="s">
        <v>70</v>
      </c>
      <c r="C74" s="46"/>
      <c r="E74" s="44"/>
      <c r="F74" s="43"/>
      <c r="G74" s="43"/>
      <c r="H74" s="43"/>
      <c r="I74" s="43"/>
      <c r="J74" s="43"/>
      <c r="P74" s="70" t="e">
        <f>U73*(1.5/100)/12</f>
        <v>#REF!</v>
      </c>
      <c r="Q74" s="46" t="s">
        <v>70</v>
      </c>
      <c r="R74" s="46"/>
      <c r="T74" s="44"/>
      <c r="U74" s="43"/>
      <c r="V74" s="43"/>
      <c r="W74" s="43"/>
      <c r="X74" s="43"/>
      <c r="Y74" s="43"/>
      <c r="AA74" s="39"/>
      <c r="AE74" s="70" t="e">
        <f>AJ73*(1.5/100)/12</f>
        <v>#REF!</v>
      </c>
      <c r="AF74" s="46" t="s">
        <v>70</v>
      </c>
      <c r="AG74" s="46"/>
      <c r="AI74" s="44"/>
      <c r="AJ74" s="43"/>
      <c r="AK74" s="43"/>
      <c r="AL74" s="43"/>
      <c r="AM74" s="43"/>
      <c r="AN74" s="43"/>
      <c r="AT74" s="70" t="e">
        <f>AY73*(1.5/100)/12</f>
        <v>#REF!</v>
      </c>
      <c r="AU74" s="46" t="s">
        <v>70</v>
      </c>
      <c r="AV74" s="46"/>
      <c r="AX74" s="44"/>
      <c r="AY74" s="43"/>
      <c r="AZ74" s="43"/>
      <c r="BA74" s="43"/>
      <c r="BB74" s="43"/>
      <c r="BC74" s="43"/>
    </row>
    <row r="75" spans="1:55" ht="13.5" hidden="1" thickBot="1">
      <c r="A75" s="48"/>
      <c r="B75" s="47"/>
      <c r="C75" s="46"/>
      <c r="D75" s="45"/>
      <c r="E75" s="44"/>
      <c r="F75" s="43"/>
      <c r="G75" s="43"/>
      <c r="H75" s="42" t="s">
        <v>33</v>
      </c>
      <c r="I75" s="41"/>
      <c r="J75" s="40" t="e">
        <f>(J73/12)-A74</f>
        <v>#REF!</v>
      </c>
      <c r="P75" s="48"/>
      <c r="Q75" s="47"/>
      <c r="R75" s="46"/>
      <c r="S75" s="45"/>
      <c r="T75" s="44"/>
      <c r="U75" s="43"/>
      <c r="V75" s="43"/>
      <c r="W75" s="42" t="s">
        <v>33</v>
      </c>
      <c r="X75" s="41"/>
      <c r="Y75" s="40" t="e">
        <f>(Y73/12)-P74</f>
        <v>#REF!</v>
      </c>
      <c r="AA75" s="39"/>
      <c r="AE75" s="48"/>
      <c r="AF75" s="47"/>
      <c r="AG75" s="46"/>
      <c r="AH75" s="45"/>
      <c r="AI75" s="44"/>
      <c r="AJ75" s="43"/>
      <c r="AK75" s="43"/>
      <c r="AL75" s="42" t="s">
        <v>33</v>
      </c>
      <c r="AM75" s="41"/>
      <c r="AN75" s="40" t="e">
        <f>(AN73/12)-AE74</f>
        <v>#REF!</v>
      </c>
      <c r="AT75" s="48"/>
      <c r="AU75" s="47"/>
      <c r="AV75" s="46"/>
      <c r="AW75" s="45"/>
      <c r="AX75" s="44"/>
      <c r="AY75" s="43"/>
      <c r="AZ75" s="43"/>
      <c r="BA75" s="42" t="s">
        <v>33</v>
      </c>
      <c r="BB75" s="41"/>
      <c r="BC75" s="40" t="e">
        <f>(BC73/12)-AT74</f>
        <v>#REF!</v>
      </c>
    </row>
    <row r="76" spans="1:55" hidden="1">
      <c r="A76" s="46"/>
      <c r="B76" s="46"/>
      <c r="C76" s="46"/>
      <c r="E76" s="46"/>
      <c r="F76" s="46"/>
      <c r="G76" s="46"/>
      <c r="H76" s="46"/>
      <c r="I76" s="46"/>
      <c r="J76" s="46"/>
      <c r="P76" s="46"/>
      <c r="Q76" s="46"/>
      <c r="R76" s="46"/>
      <c r="T76" s="46"/>
      <c r="U76" s="46"/>
      <c r="V76" s="46"/>
      <c r="W76" s="46"/>
      <c r="X76" s="46"/>
      <c r="Y76" s="46"/>
      <c r="AA76" s="39"/>
      <c r="AE76" s="46"/>
      <c r="AF76" s="46"/>
      <c r="AG76" s="46"/>
      <c r="AI76" s="46"/>
      <c r="AJ76" s="46"/>
      <c r="AK76" s="46"/>
      <c r="AL76" s="46"/>
      <c r="AM76" s="46"/>
      <c r="AN76" s="46"/>
      <c r="AT76" s="46"/>
      <c r="AU76" s="46"/>
      <c r="AV76" s="46"/>
      <c r="AX76" s="46"/>
      <c r="AY76" s="46"/>
      <c r="AZ76" s="46"/>
      <c r="BA76" s="46"/>
      <c r="BB76" s="46"/>
      <c r="BC76" s="46"/>
    </row>
    <row r="77" spans="1:55">
      <c r="A77" s="46"/>
      <c r="B77" s="46"/>
      <c r="C77" s="46"/>
      <c r="E77" s="46"/>
      <c r="F77" s="46"/>
      <c r="G77" s="46"/>
      <c r="H77" s="46"/>
      <c r="I77" s="46"/>
      <c r="J77" s="46"/>
      <c r="P77" s="46"/>
      <c r="Q77" s="46"/>
      <c r="R77" s="46"/>
      <c r="T77" s="46"/>
      <c r="U77" s="46"/>
      <c r="V77" s="46"/>
      <c r="W77" s="46"/>
      <c r="X77" s="46"/>
      <c r="Y77" s="46"/>
      <c r="AA77" s="39"/>
      <c r="AE77" s="46"/>
      <c r="AF77" s="46"/>
      <c r="AG77" s="46"/>
      <c r="AI77" s="46"/>
      <c r="AJ77" s="46"/>
      <c r="AK77" s="46"/>
      <c r="AL77" s="46"/>
      <c r="AM77" s="46"/>
      <c r="AN77" s="46"/>
      <c r="AT77" s="46"/>
      <c r="AU77" s="46"/>
      <c r="AV77" s="46"/>
      <c r="AX77" s="46"/>
      <c r="AY77" s="46"/>
      <c r="AZ77" s="46"/>
      <c r="BA77" s="46"/>
      <c r="BB77" s="46"/>
      <c r="BC77" s="46"/>
    </row>
    <row r="78" spans="1:55">
      <c r="A78" s="90" t="s">
        <v>80</v>
      </c>
      <c r="B78" s="90"/>
      <c r="C78" s="90"/>
      <c r="D78" s="90"/>
      <c r="E78" s="90"/>
      <c r="F78" s="90"/>
      <c r="G78" s="90"/>
      <c r="H78" s="91"/>
      <c r="I78" s="91"/>
      <c r="J78" s="91"/>
      <c r="P78" s="90" t="s">
        <v>80</v>
      </c>
      <c r="Q78" s="90"/>
      <c r="R78" s="90"/>
      <c r="S78" s="90"/>
      <c r="T78" s="90"/>
      <c r="U78" s="90"/>
      <c r="V78" s="90"/>
      <c r="W78" s="91"/>
      <c r="X78" s="91"/>
      <c r="Y78" s="91"/>
      <c r="AA78" s="39"/>
      <c r="AE78" s="90" t="s">
        <v>80</v>
      </c>
      <c r="AF78" s="90"/>
      <c r="AG78" s="90"/>
      <c r="AH78" s="90"/>
      <c r="AI78" s="90"/>
      <c r="AJ78" s="90"/>
      <c r="AK78" s="90"/>
      <c r="AL78" s="91"/>
      <c r="AM78" s="91"/>
      <c r="AN78" s="91"/>
    </row>
    <row r="79" spans="1:55" ht="13.5" thickBot="1">
      <c r="A79" s="57" t="s">
        <v>64</v>
      </c>
      <c r="B79" s="57"/>
      <c r="C79" s="46"/>
      <c r="D79" s="57" t="s">
        <v>63</v>
      </c>
      <c r="E79" s="46"/>
      <c r="F79" s="56" t="s">
        <v>62</v>
      </c>
      <c r="G79" s="56"/>
      <c r="H79" s="56" t="s">
        <v>61</v>
      </c>
      <c r="I79" s="56"/>
      <c r="J79" s="56" t="s">
        <v>60</v>
      </c>
      <c r="P79" s="57" t="s">
        <v>64</v>
      </c>
      <c r="Q79" s="57"/>
      <c r="R79" s="46"/>
      <c r="S79" s="57" t="s">
        <v>63</v>
      </c>
      <c r="T79" s="46"/>
      <c r="U79" s="56" t="s">
        <v>62</v>
      </c>
      <c r="V79" s="56"/>
      <c r="W79" s="56" t="s">
        <v>61</v>
      </c>
      <c r="X79" s="56"/>
      <c r="Y79" s="56" t="s">
        <v>60</v>
      </c>
      <c r="AA79" s="39"/>
      <c r="AE79" s="57" t="s">
        <v>64</v>
      </c>
      <c r="AF79" s="57"/>
      <c r="AG79" s="46"/>
      <c r="AH79" s="57" t="s">
        <v>63</v>
      </c>
      <c r="AI79" s="46"/>
      <c r="AJ79" s="56" t="s">
        <v>62</v>
      </c>
      <c r="AK79" s="56"/>
      <c r="AL79" s="56" t="s">
        <v>61</v>
      </c>
      <c r="AM79" s="56"/>
      <c r="AN79" s="56" t="s">
        <v>60</v>
      </c>
    </row>
    <row r="80" spans="1:55" ht="13.5" thickBot="1">
      <c r="A80" s="43"/>
      <c r="B80" s="43"/>
      <c r="C80" s="48"/>
      <c r="D80" s="53">
        <v>0.25</v>
      </c>
      <c r="E80" s="44"/>
      <c r="F80" s="50">
        <f>'SME Servicing Calculator'!D47</f>
        <v>0</v>
      </c>
      <c r="G80" s="50">
        <f>F80</f>
        <v>0</v>
      </c>
      <c r="H80" s="50">
        <f>F80*D80</f>
        <v>0</v>
      </c>
      <c r="I80" s="51"/>
      <c r="J80" s="50">
        <f>F80-H80</f>
        <v>0</v>
      </c>
      <c r="P80" s="43"/>
      <c r="Q80" s="43"/>
      <c r="R80" s="48"/>
      <c r="S80" s="69">
        <f>D80</f>
        <v>0.25</v>
      </c>
      <c r="T80" s="44"/>
      <c r="U80" s="50">
        <f>'SMSF Servicing Calculator'!D84</f>
        <v>0</v>
      </c>
      <c r="V80" s="50">
        <f>U80</f>
        <v>0</v>
      </c>
      <c r="W80" s="50">
        <f>U80*S80</f>
        <v>0</v>
      </c>
      <c r="X80" s="51"/>
      <c r="Y80" s="50">
        <f>U80-W80</f>
        <v>0</v>
      </c>
      <c r="AA80" s="39"/>
      <c r="AE80" s="43"/>
      <c r="AF80" s="43"/>
      <c r="AG80" s="48"/>
      <c r="AH80" s="53">
        <v>0.25</v>
      </c>
      <c r="AI80" s="44"/>
      <c r="AJ80" s="50" t="e">
        <f>#REF!</f>
        <v>#REF!</v>
      </c>
      <c r="AK80" s="50" t="e">
        <f>AJ80</f>
        <v>#REF!</v>
      </c>
      <c r="AL80" s="50" t="e">
        <f>AJ80*AH80</f>
        <v>#REF!</v>
      </c>
      <c r="AM80" s="51"/>
      <c r="AN80" s="50" t="e">
        <f>AJ80-AL80</f>
        <v>#REF!</v>
      </c>
    </row>
    <row r="81" spans="1:40" ht="13.5" thickBot="1">
      <c r="A81" s="48"/>
      <c r="B81" s="48"/>
      <c r="C81" s="46"/>
      <c r="D81" s="52" t="s">
        <v>59</v>
      </c>
      <c r="E81" s="44"/>
      <c r="F81" s="50">
        <f>SUM(F80:F80)</f>
        <v>0</v>
      </c>
      <c r="G81" s="50"/>
      <c r="H81" s="50">
        <f>SUM(H80:H80)</f>
        <v>0</v>
      </c>
      <c r="I81" s="51"/>
      <c r="J81" s="50">
        <f>SUM(J80:J80)</f>
        <v>0</v>
      </c>
      <c r="P81" s="48"/>
      <c r="Q81" s="48"/>
      <c r="R81" s="46"/>
      <c r="S81" s="52" t="s">
        <v>59</v>
      </c>
      <c r="T81" s="44"/>
      <c r="U81" s="50">
        <f>SUM(U80:U80)</f>
        <v>0</v>
      </c>
      <c r="V81" s="50"/>
      <c r="W81" s="50">
        <f>SUM(W80:W80)</f>
        <v>0</v>
      </c>
      <c r="X81" s="51"/>
      <c r="Y81" s="50">
        <f>SUM(Y80:Y80)</f>
        <v>0</v>
      </c>
      <c r="AA81" s="39"/>
      <c r="AE81" s="48"/>
      <c r="AF81" s="48"/>
      <c r="AG81" s="46"/>
      <c r="AH81" s="52" t="s">
        <v>59</v>
      </c>
      <c r="AI81" s="44"/>
      <c r="AJ81" s="50" t="e">
        <f>SUM(AJ80:AJ80)</f>
        <v>#REF!</v>
      </c>
      <c r="AK81" s="50"/>
      <c r="AL81" s="50" t="e">
        <f>SUM(AL80:AL80)</f>
        <v>#REF!</v>
      </c>
      <c r="AM81" s="51"/>
      <c r="AN81" s="50" t="e">
        <f>SUM(AN80:AN80)</f>
        <v>#REF!</v>
      </c>
    </row>
    <row r="82" spans="1:40" ht="13.5" thickBot="1">
      <c r="A82" s="49" t="s">
        <v>48</v>
      </c>
      <c r="B82" s="46" t="s">
        <v>70</v>
      </c>
      <c r="C82" s="46"/>
      <c r="E82" s="44"/>
      <c r="F82" s="43"/>
      <c r="G82" s="43"/>
      <c r="H82" s="43"/>
      <c r="I82" s="43"/>
      <c r="J82" s="43"/>
      <c r="P82" s="49" t="s">
        <v>48</v>
      </c>
      <c r="Q82" s="46" t="s">
        <v>70</v>
      </c>
      <c r="R82" s="46"/>
      <c r="T82" s="44"/>
      <c r="U82" s="43"/>
      <c r="V82" s="43"/>
      <c r="W82" s="43"/>
      <c r="X82" s="43"/>
      <c r="Y82" s="43"/>
      <c r="AA82" s="39"/>
      <c r="AE82" s="49" t="s">
        <v>48</v>
      </c>
      <c r="AF82" s="46" t="s">
        <v>70</v>
      </c>
      <c r="AG82" s="46"/>
      <c r="AI82" s="44"/>
      <c r="AJ82" s="43"/>
      <c r="AK82" s="43"/>
      <c r="AL82" s="43"/>
      <c r="AM82" s="43"/>
      <c r="AN82" s="43"/>
    </row>
    <row r="83" spans="1:40" ht="13.5" thickBot="1">
      <c r="A83" s="48"/>
      <c r="B83" s="47"/>
      <c r="C83" s="46"/>
      <c r="D83" s="45"/>
      <c r="E83" s="44"/>
      <c r="F83" s="43"/>
      <c r="G83" s="43"/>
      <c r="H83" s="42" t="s">
        <v>33</v>
      </c>
      <c r="I83" s="41"/>
      <c r="J83" s="40">
        <f>(J81/12)</f>
        <v>0</v>
      </c>
      <c r="P83" s="48"/>
      <c r="Q83" s="47"/>
      <c r="R83" s="46"/>
      <c r="S83" s="45"/>
      <c r="T83" s="44"/>
      <c r="U83" s="43"/>
      <c r="V83" s="43"/>
      <c r="W83" s="42" t="s">
        <v>33</v>
      </c>
      <c r="X83" s="41"/>
      <c r="Y83" s="40">
        <f>(Y81/12)</f>
        <v>0</v>
      </c>
      <c r="AA83" s="39"/>
      <c r="AE83" s="48"/>
      <c r="AF83" s="47"/>
      <c r="AG83" s="46"/>
      <c r="AH83" s="45"/>
      <c r="AI83" s="44"/>
      <c r="AJ83" s="43"/>
      <c r="AK83" s="43"/>
      <c r="AL83" s="42" t="s">
        <v>33</v>
      </c>
      <c r="AM83" s="41"/>
      <c r="AN83" s="40" t="e">
        <f>(AN81/12)</f>
        <v>#REF!</v>
      </c>
    </row>
    <row r="84" spans="1:40">
      <c r="A84" s="46"/>
      <c r="B84" s="46"/>
      <c r="C84" s="46"/>
      <c r="E84" s="46"/>
      <c r="F84" s="46"/>
      <c r="G84" s="46"/>
      <c r="H84" s="46"/>
      <c r="I84" s="46"/>
      <c r="J84" s="46"/>
      <c r="P84" s="46"/>
      <c r="Q84" s="46"/>
      <c r="R84" s="46"/>
      <c r="T84" s="46"/>
      <c r="U84" s="46"/>
      <c r="V84" s="46"/>
      <c r="W84" s="46"/>
      <c r="X84" s="46"/>
      <c r="Y84" s="46"/>
      <c r="AA84" s="39"/>
      <c r="AE84" s="46"/>
      <c r="AF84" s="46"/>
      <c r="AG84" s="46"/>
      <c r="AI84" s="46"/>
      <c r="AJ84" s="46"/>
      <c r="AK84" s="46"/>
      <c r="AL84" s="46"/>
      <c r="AM84" s="46"/>
      <c r="AN84" s="46"/>
    </row>
    <row r="85" spans="1:40">
      <c r="A85" s="90" t="s">
        <v>79</v>
      </c>
      <c r="B85" s="90"/>
      <c r="C85" s="90"/>
      <c r="D85" s="90"/>
      <c r="E85" s="90"/>
      <c r="F85" s="90"/>
      <c r="G85" s="90"/>
      <c r="H85" s="91"/>
      <c r="I85" s="91"/>
      <c r="J85" s="91"/>
      <c r="P85" s="90" t="s">
        <v>79</v>
      </c>
      <c r="Q85" s="90"/>
      <c r="R85" s="90"/>
      <c r="S85" s="90"/>
      <c r="T85" s="90"/>
      <c r="U85" s="90"/>
      <c r="V85" s="90"/>
      <c r="W85" s="91"/>
      <c r="X85" s="91"/>
      <c r="Y85" s="91"/>
      <c r="AA85" s="39"/>
      <c r="AE85" s="90" t="s">
        <v>79</v>
      </c>
      <c r="AF85" s="90"/>
      <c r="AG85" s="90"/>
      <c r="AH85" s="90"/>
      <c r="AI85" s="90"/>
      <c r="AJ85" s="90"/>
      <c r="AK85" s="90"/>
      <c r="AL85" s="91"/>
      <c r="AM85" s="91"/>
      <c r="AN85" s="91"/>
    </row>
    <row r="86" spans="1:40" ht="13.5" thickBot="1">
      <c r="A86" s="57" t="s">
        <v>64</v>
      </c>
      <c r="B86" s="57"/>
      <c r="C86" s="46"/>
      <c r="D86" s="57" t="s">
        <v>63</v>
      </c>
      <c r="E86" s="46"/>
      <c r="F86" s="56" t="s">
        <v>62</v>
      </c>
      <c r="G86" s="56"/>
      <c r="H86" s="56" t="s">
        <v>61</v>
      </c>
      <c r="I86" s="56"/>
      <c r="J86" s="56" t="s">
        <v>60</v>
      </c>
      <c r="P86" s="57" t="s">
        <v>64</v>
      </c>
      <c r="Q86" s="57"/>
      <c r="R86" s="46"/>
      <c r="S86" s="57" t="s">
        <v>63</v>
      </c>
      <c r="T86" s="46"/>
      <c r="U86" s="56" t="s">
        <v>62</v>
      </c>
      <c r="V86" s="56"/>
      <c r="W86" s="56" t="s">
        <v>61</v>
      </c>
      <c r="X86" s="56"/>
      <c r="Y86" s="56" t="s">
        <v>60</v>
      </c>
      <c r="AA86" s="39"/>
      <c r="AE86" s="57" t="s">
        <v>64</v>
      </c>
      <c r="AF86" s="57"/>
      <c r="AG86" s="46"/>
      <c r="AH86" s="57" t="s">
        <v>63</v>
      </c>
      <c r="AI86" s="46"/>
      <c r="AJ86" s="56" t="s">
        <v>62</v>
      </c>
      <c r="AK86" s="56"/>
      <c r="AL86" s="56" t="s">
        <v>61</v>
      </c>
      <c r="AM86" s="56"/>
      <c r="AN86" s="56" t="s">
        <v>60</v>
      </c>
    </row>
    <row r="87" spans="1:40" ht="13.5" thickBot="1">
      <c r="A87" s="43"/>
      <c r="B87" s="43"/>
      <c r="C87" s="48"/>
      <c r="D87" s="69">
        <f>D80</f>
        <v>0.25</v>
      </c>
      <c r="E87" s="44"/>
      <c r="F87" s="50">
        <f>'SME Servicing Calculator'!D48</f>
        <v>0</v>
      </c>
      <c r="G87" s="50">
        <f>F87</f>
        <v>0</v>
      </c>
      <c r="H87" s="50">
        <f>F87*D87</f>
        <v>0</v>
      </c>
      <c r="I87" s="51"/>
      <c r="J87" s="50">
        <f>F87-H87</f>
        <v>0</v>
      </c>
      <c r="P87" s="43"/>
      <c r="Q87" s="43"/>
      <c r="R87" s="48"/>
      <c r="S87" s="69">
        <f>D87</f>
        <v>0.25</v>
      </c>
      <c r="T87" s="44"/>
      <c r="U87" s="50">
        <f>'SMSF Servicing Calculator'!D85</f>
        <v>0</v>
      </c>
      <c r="V87" s="50">
        <f>U87</f>
        <v>0</v>
      </c>
      <c r="W87" s="50">
        <f>U87*S87</f>
        <v>0</v>
      </c>
      <c r="X87" s="51"/>
      <c r="Y87" s="50">
        <f>U87-W87</f>
        <v>0</v>
      </c>
      <c r="AA87" s="39"/>
      <c r="AE87" s="43"/>
      <c r="AF87" s="43"/>
      <c r="AG87" s="48"/>
      <c r="AH87" s="69">
        <f>AH80</f>
        <v>0.25</v>
      </c>
      <c r="AI87" s="44"/>
      <c r="AJ87" s="50" t="e">
        <f>#REF!</f>
        <v>#REF!</v>
      </c>
      <c r="AK87" s="50" t="e">
        <f>AJ87</f>
        <v>#REF!</v>
      </c>
      <c r="AL87" s="50" t="e">
        <f>AJ87*AH87</f>
        <v>#REF!</v>
      </c>
      <c r="AM87" s="51"/>
      <c r="AN87" s="50" t="e">
        <f>AJ87-AL87</f>
        <v>#REF!</v>
      </c>
    </row>
    <row r="88" spans="1:40" ht="13.5" thickBot="1">
      <c r="A88" s="48"/>
      <c r="B88" s="48"/>
      <c r="C88" s="46"/>
      <c r="D88" s="52" t="s">
        <v>59</v>
      </c>
      <c r="E88" s="44"/>
      <c r="F88" s="50">
        <f>SUM(F87:F87)</f>
        <v>0</v>
      </c>
      <c r="G88" s="50"/>
      <c r="H88" s="50">
        <f>SUM(H87:H87)</f>
        <v>0</v>
      </c>
      <c r="I88" s="51"/>
      <c r="J88" s="50">
        <f>SUM(J87:J87)</f>
        <v>0</v>
      </c>
      <c r="P88" s="48"/>
      <c r="Q88" s="48"/>
      <c r="R88" s="46"/>
      <c r="S88" s="52" t="s">
        <v>59</v>
      </c>
      <c r="T88" s="44"/>
      <c r="U88" s="50">
        <f>SUM(U87:U87)</f>
        <v>0</v>
      </c>
      <c r="V88" s="50"/>
      <c r="W88" s="50">
        <f>SUM(W87:W87)</f>
        <v>0</v>
      </c>
      <c r="X88" s="51"/>
      <c r="Y88" s="50">
        <f>SUM(Y87:Y87)</f>
        <v>0</v>
      </c>
      <c r="AA88" s="39"/>
      <c r="AE88" s="48"/>
      <c r="AF88" s="48"/>
      <c r="AG88" s="46"/>
      <c r="AH88" s="52" t="s">
        <v>59</v>
      </c>
      <c r="AI88" s="44"/>
      <c r="AJ88" s="50" t="e">
        <f>SUM(AJ87:AJ87)</f>
        <v>#REF!</v>
      </c>
      <c r="AK88" s="50"/>
      <c r="AL88" s="50" t="e">
        <f>SUM(AL87:AL87)</f>
        <v>#REF!</v>
      </c>
      <c r="AM88" s="51"/>
      <c r="AN88" s="50" t="e">
        <f>SUM(AN87:AN87)</f>
        <v>#REF!</v>
      </c>
    </row>
    <row r="89" spans="1:40" ht="13.5" thickBot="1">
      <c r="A89" s="49" t="s">
        <v>48</v>
      </c>
      <c r="B89" s="46" t="s">
        <v>70</v>
      </c>
      <c r="C89" s="46"/>
      <c r="E89" s="44"/>
      <c r="F89" s="43"/>
      <c r="G89" s="43"/>
      <c r="H89" s="43"/>
      <c r="I89" s="43"/>
      <c r="J89" s="43"/>
      <c r="P89" s="49" t="s">
        <v>48</v>
      </c>
      <c r="Q89" s="46" t="s">
        <v>70</v>
      </c>
      <c r="R89" s="46"/>
      <c r="T89" s="44"/>
      <c r="U89" s="43"/>
      <c r="V89" s="43"/>
      <c r="W89" s="43"/>
      <c r="X89" s="43"/>
      <c r="Y89" s="43"/>
      <c r="AA89" s="39"/>
      <c r="AE89" s="49" t="s">
        <v>48</v>
      </c>
      <c r="AF89" s="46" t="s">
        <v>70</v>
      </c>
      <c r="AG89" s="46"/>
      <c r="AI89" s="44"/>
      <c r="AJ89" s="43"/>
      <c r="AK89" s="43"/>
      <c r="AL89" s="43"/>
      <c r="AM89" s="43"/>
      <c r="AN89" s="43"/>
    </row>
    <row r="90" spans="1:40" ht="13.5" thickBot="1">
      <c r="A90" s="48"/>
      <c r="B90" s="47"/>
      <c r="C90" s="46"/>
      <c r="D90" s="45"/>
      <c r="E90" s="44"/>
      <c r="F90" s="43"/>
      <c r="G90" s="43"/>
      <c r="H90" s="42" t="s">
        <v>33</v>
      </c>
      <c r="I90" s="41"/>
      <c r="J90" s="40">
        <f>(J88/12)</f>
        <v>0</v>
      </c>
      <c r="P90" s="48"/>
      <c r="Q90" s="47"/>
      <c r="R90" s="46"/>
      <c r="S90" s="45"/>
      <c r="T90" s="44"/>
      <c r="U90" s="43"/>
      <c r="V90" s="43"/>
      <c r="W90" s="42" t="s">
        <v>33</v>
      </c>
      <c r="X90" s="41"/>
      <c r="Y90" s="40">
        <f>(Y88/12)</f>
        <v>0</v>
      </c>
      <c r="AA90" s="39"/>
      <c r="AE90" s="48"/>
      <c r="AF90" s="47"/>
      <c r="AG90" s="46"/>
      <c r="AH90" s="45"/>
      <c r="AI90" s="44"/>
      <c r="AJ90" s="43"/>
      <c r="AK90" s="43"/>
      <c r="AL90" s="42" t="s">
        <v>33</v>
      </c>
      <c r="AM90" s="41"/>
      <c r="AN90" s="40" t="e">
        <f>(AN88/12)</f>
        <v>#REF!</v>
      </c>
    </row>
    <row r="91" spans="1:40">
      <c r="AA91" s="39"/>
    </row>
    <row r="92" spans="1:40">
      <c r="P92" s="90" t="s">
        <v>78</v>
      </c>
      <c r="Q92" s="90"/>
      <c r="R92" s="90"/>
      <c r="S92" s="90"/>
      <c r="T92" s="90"/>
      <c r="U92" s="90"/>
      <c r="V92" s="90"/>
      <c r="W92" s="91"/>
      <c r="X92" s="91"/>
      <c r="Y92" s="91"/>
      <c r="AA92" s="39"/>
    </row>
    <row r="93" spans="1:40" ht="13.5" thickBot="1">
      <c r="P93" s="57" t="s">
        <v>64</v>
      </c>
      <c r="Q93" s="57"/>
      <c r="R93" s="46"/>
      <c r="S93" s="57" t="s">
        <v>63</v>
      </c>
      <c r="T93" s="46"/>
      <c r="U93" s="56" t="s">
        <v>77</v>
      </c>
      <c r="V93" s="56" t="s">
        <v>76</v>
      </c>
      <c r="W93" s="56" t="s">
        <v>61</v>
      </c>
      <c r="X93" s="56"/>
      <c r="Y93" s="56" t="s">
        <v>60</v>
      </c>
      <c r="AA93" s="39"/>
    </row>
    <row r="94" spans="1:40" ht="13.5" thickBot="1">
      <c r="P94" s="43"/>
      <c r="Q94" s="43"/>
      <c r="R94" s="48"/>
      <c r="S94" s="55">
        <v>0.15</v>
      </c>
      <c r="T94" s="44"/>
      <c r="U94" s="50" t="e">
        <f>'SMSF Servicing Calculator'!D9</f>
        <v>#DIV/0!</v>
      </c>
      <c r="V94" s="50" t="e">
        <f>U94*3.9%</f>
        <v>#DIV/0!</v>
      </c>
      <c r="W94" s="50" t="e">
        <f>V94*S94</f>
        <v>#DIV/0!</v>
      </c>
      <c r="X94" s="51"/>
      <c r="Y94" s="50" t="e">
        <f>V94-W94</f>
        <v>#DIV/0!</v>
      </c>
      <c r="AA94" s="39"/>
    </row>
    <row r="95" spans="1:40" ht="13.5" thickBot="1">
      <c r="A95" s="65" t="s">
        <v>75</v>
      </c>
      <c r="P95" s="48"/>
      <c r="Q95" s="48"/>
      <c r="R95" s="46"/>
      <c r="S95" s="52" t="s">
        <v>59</v>
      </c>
      <c r="T95" s="44"/>
      <c r="U95" s="50" t="e">
        <f>SUM(U94:U94)</f>
        <v>#DIV/0!</v>
      </c>
      <c r="V95" s="50"/>
      <c r="W95" s="50" t="e">
        <f>SUM(W94:W94)</f>
        <v>#DIV/0!</v>
      </c>
      <c r="X95" s="51"/>
      <c r="Y95" s="50" t="e">
        <f>SUM(Y94:Y94)</f>
        <v>#DIV/0!</v>
      </c>
      <c r="AA95" s="39"/>
    </row>
    <row r="96" spans="1:40">
      <c r="A96" s="64" t="s">
        <v>74</v>
      </c>
      <c r="B96" s="63" t="s">
        <v>73</v>
      </c>
      <c r="C96" s="63" t="s">
        <v>72</v>
      </c>
      <c r="D96" s="62" t="s">
        <v>71</v>
      </c>
      <c r="P96" s="49" t="s">
        <v>48</v>
      </c>
      <c r="Q96" s="46" t="s">
        <v>70</v>
      </c>
      <c r="R96" s="46"/>
      <c r="T96" s="44"/>
      <c r="U96" s="43"/>
      <c r="V96" s="43"/>
      <c r="W96" s="43"/>
      <c r="X96" s="43"/>
      <c r="Y96" s="43"/>
      <c r="AA96" s="39"/>
    </row>
    <row r="97" spans="1:27" ht="13.5" thickBot="1">
      <c r="A97" s="61">
        <v>0</v>
      </c>
      <c r="B97" s="60">
        <v>19543</v>
      </c>
      <c r="C97" s="60"/>
      <c r="D97" s="58">
        <v>0</v>
      </c>
      <c r="P97" s="49"/>
      <c r="Q97" s="46"/>
      <c r="R97" s="46"/>
      <c r="T97" s="44"/>
      <c r="U97" s="43"/>
      <c r="V97" s="43"/>
      <c r="W97" s="43"/>
      <c r="X97" s="43"/>
      <c r="Y97" s="43"/>
      <c r="AA97" s="39"/>
    </row>
    <row r="98" spans="1:27" ht="13.5" thickBot="1">
      <c r="A98" s="61">
        <v>19543</v>
      </c>
      <c r="B98" s="60">
        <v>37000</v>
      </c>
      <c r="C98" s="60"/>
      <c r="D98" s="58">
        <v>-255</v>
      </c>
      <c r="P98" s="48"/>
      <c r="Q98" s="47"/>
      <c r="R98" s="46"/>
      <c r="S98" s="45"/>
      <c r="T98" s="44"/>
      <c r="U98" s="43"/>
      <c r="V98" s="43"/>
      <c r="W98" s="42" t="s">
        <v>33</v>
      </c>
      <c r="X98" s="41"/>
      <c r="Y98" s="40" t="e">
        <f>(Y95/12)</f>
        <v>#DIV/0!</v>
      </c>
      <c r="AA98" s="39"/>
    </row>
    <row r="99" spans="1:27">
      <c r="A99" s="61">
        <v>37001</v>
      </c>
      <c r="B99" s="60">
        <v>48000</v>
      </c>
      <c r="C99" s="59">
        <v>-7.4999999999999997E-2</v>
      </c>
      <c r="D99" s="58">
        <v>-255</v>
      </c>
      <c r="AA99" s="39"/>
    </row>
    <row r="100" spans="1:27">
      <c r="A100" s="61">
        <v>48001</v>
      </c>
      <c r="B100" s="60">
        <v>90000</v>
      </c>
      <c r="C100" s="60"/>
      <c r="D100" s="58">
        <v>-1080</v>
      </c>
      <c r="P100" s="92" t="s">
        <v>69</v>
      </c>
      <c r="Q100" s="90"/>
      <c r="R100" s="90"/>
      <c r="S100" s="90"/>
      <c r="T100" s="90"/>
      <c r="U100" s="90"/>
      <c r="V100" s="90"/>
      <c r="W100" s="91"/>
      <c r="X100" s="91"/>
      <c r="Y100" s="91"/>
      <c r="AA100" s="39"/>
    </row>
    <row r="101" spans="1:27" ht="13.5" thickBot="1">
      <c r="A101" s="61">
        <v>90001</v>
      </c>
      <c r="B101" s="60">
        <v>126000</v>
      </c>
      <c r="C101" s="59">
        <v>0.03</v>
      </c>
      <c r="D101" s="58">
        <v>-1080</v>
      </c>
      <c r="P101" s="57" t="s">
        <v>64</v>
      </c>
      <c r="Q101" s="57"/>
      <c r="R101" s="46"/>
      <c r="S101" s="57" t="s">
        <v>63</v>
      </c>
      <c r="T101" s="46"/>
      <c r="U101" s="56" t="s">
        <v>62</v>
      </c>
      <c r="V101" s="56"/>
      <c r="W101" s="56" t="s">
        <v>61</v>
      </c>
      <c r="X101" s="56"/>
      <c r="Y101" s="56" t="s">
        <v>60</v>
      </c>
      <c r="AA101" s="39"/>
    </row>
    <row r="102" spans="1:27" ht="13.5" thickBot="1">
      <c r="A102" s="68">
        <v>126001</v>
      </c>
      <c r="B102" s="67">
        <v>10000000</v>
      </c>
      <c r="C102" s="67"/>
      <c r="D102" s="66">
        <v>0</v>
      </c>
      <c r="P102" s="43">
        <v>1</v>
      </c>
      <c r="Q102" s="43">
        <v>25000</v>
      </c>
      <c r="R102" s="54">
        <f>Q102-P102+1</f>
        <v>25000</v>
      </c>
      <c r="S102" s="55">
        <v>0.15</v>
      </c>
      <c r="T102" s="44"/>
      <c r="U102" s="50">
        <f>IF('SMSF Servicing Calculator'!D12&lt;Q102,'SMSF Servicing Calculator'!D12,R102)</f>
        <v>0</v>
      </c>
      <c r="V102" s="50">
        <f>U102</f>
        <v>0</v>
      </c>
      <c r="W102" s="50">
        <f>U102*S102</f>
        <v>0</v>
      </c>
      <c r="X102" s="51"/>
      <c r="Y102" s="50">
        <f>V102-W102</f>
        <v>0</v>
      </c>
      <c r="AA102" s="39"/>
    </row>
    <row r="103" spans="1:27" ht="13.5" thickBot="1">
      <c r="P103" s="43">
        <v>25001</v>
      </c>
      <c r="Q103" s="43">
        <v>10000000</v>
      </c>
      <c r="R103" s="54">
        <f>Q103-P103+1</f>
        <v>9975000</v>
      </c>
      <c r="S103" s="53">
        <v>0.47</v>
      </c>
      <c r="T103" s="44"/>
      <c r="U103" s="50">
        <f>IF(V102='SMSF Servicing Calculator'!$D$12,0,IF(('SMSF Servicing Calculator'!$D$12-V102)&gt;R103,R103,('SMSF Servicing Calculator'!$D$12-V102)))</f>
        <v>0</v>
      </c>
      <c r="V103" s="50">
        <f>V102+U103</f>
        <v>0</v>
      </c>
      <c r="W103" s="50">
        <f>U103*S103</f>
        <v>0</v>
      </c>
      <c r="X103" s="51"/>
      <c r="Y103" s="50">
        <f>U103-W103</f>
        <v>0</v>
      </c>
      <c r="AA103" s="39"/>
    </row>
    <row r="104" spans="1:27" ht="13.5" thickBot="1">
      <c r="P104" s="48"/>
      <c r="Q104" s="48"/>
      <c r="R104" s="46"/>
      <c r="S104" s="52" t="s">
        <v>59</v>
      </c>
      <c r="T104" s="44"/>
      <c r="U104" s="50">
        <f>SUM(U102:U103)</f>
        <v>0</v>
      </c>
      <c r="V104" s="50"/>
      <c r="W104" s="50">
        <f>SUM(W102:W103)</f>
        <v>0</v>
      </c>
      <c r="X104" s="51"/>
      <c r="Y104" s="50">
        <f>SUM(Y102:Y103)</f>
        <v>0</v>
      </c>
      <c r="AA104" s="39"/>
    </row>
    <row r="105" spans="1:27" ht="13.5" thickBot="1">
      <c r="P105" s="49"/>
      <c r="Q105" s="46"/>
      <c r="R105" s="46"/>
      <c r="T105" s="44"/>
      <c r="U105" s="43"/>
      <c r="V105" s="43"/>
      <c r="W105" s="43"/>
      <c r="X105" s="43"/>
      <c r="Y105" s="43"/>
      <c r="AA105" s="39"/>
    </row>
    <row r="106" spans="1:27" ht="13.5" thickBot="1">
      <c r="A106" s="38">
        <f>IF(F10&lt;=B97,D97,IF($F$23&lt;=$B$98,$D$98,IF($F$23&lt;=$B$99,(($F$23-$B$98)*$C$99)+$D$99,IF($F$23&lt;=$B$100,$D$100,IF($F$23&lt;=$B$101,(($F$23-$B$100)*$C$101)+$D$101,IF($F$23&lt;=$B$102,$D$102,0))))))</f>
        <v>0</v>
      </c>
      <c r="P106" s="48"/>
      <c r="Q106" s="47"/>
      <c r="R106" s="46"/>
      <c r="S106" s="45"/>
      <c r="T106" s="44"/>
      <c r="U106" s="43"/>
      <c r="V106" s="43"/>
      <c r="W106" s="42" t="s">
        <v>33</v>
      </c>
      <c r="X106" s="41"/>
      <c r="Y106" s="40">
        <f>(Y104/12)</f>
        <v>0</v>
      </c>
    </row>
    <row r="108" spans="1:27" ht="13.5" thickBot="1">
      <c r="A108" s="65" t="s">
        <v>68</v>
      </c>
      <c r="P108" s="92" t="s">
        <v>67</v>
      </c>
      <c r="Q108" s="90"/>
      <c r="R108" s="90"/>
      <c r="S108" s="90"/>
      <c r="T108" s="90"/>
      <c r="U108" s="90"/>
      <c r="V108" s="90"/>
      <c r="W108" s="91"/>
      <c r="X108" s="91"/>
      <c r="Y108" s="91"/>
    </row>
    <row r="109" spans="1:27" ht="13.5" thickBot="1">
      <c r="A109" s="64">
        <v>0</v>
      </c>
      <c r="B109" s="63">
        <v>20593</v>
      </c>
      <c r="C109" s="63"/>
      <c r="D109" s="62">
        <v>0</v>
      </c>
      <c r="P109" s="57" t="s">
        <v>64</v>
      </c>
      <c r="Q109" s="57"/>
      <c r="R109" s="46"/>
      <c r="S109" s="57" t="s">
        <v>63</v>
      </c>
      <c r="T109" s="46"/>
      <c r="U109" s="56" t="s">
        <v>62</v>
      </c>
      <c r="V109" s="56"/>
      <c r="W109" s="56" t="s">
        <v>61</v>
      </c>
      <c r="X109" s="56"/>
      <c r="Y109" s="56" t="s">
        <v>60</v>
      </c>
    </row>
    <row r="110" spans="1:27" ht="13.5" thickBot="1">
      <c r="A110" s="61">
        <v>20596</v>
      </c>
      <c r="B110" s="60">
        <v>37000</v>
      </c>
      <c r="C110" s="60"/>
      <c r="D110" s="58">
        <v>-445</v>
      </c>
      <c r="P110" s="43">
        <v>1</v>
      </c>
      <c r="Q110" s="43">
        <v>25000</v>
      </c>
      <c r="R110" s="54">
        <f>Q110-P110+1</f>
        <v>25000</v>
      </c>
      <c r="S110" s="55">
        <f>S102</f>
        <v>0.15</v>
      </c>
      <c r="T110" s="44"/>
      <c r="U110" s="50">
        <f>IF('SMSF Servicing Calculator'!D13&lt;Q110,'SMSF Servicing Calculator'!D13,R110)</f>
        <v>0</v>
      </c>
      <c r="V110" s="50">
        <f>U110</f>
        <v>0</v>
      </c>
      <c r="W110" s="50">
        <f>U110*S110</f>
        <v>0</v>
      </c>
      <c r="X110" s="51"/>
      <c r="Y110" s="50">
        <f>V110-W110</f>
        <v>0</v>
      </c>
    </row>
    <row r="111" spans="1:27" ht="13.5" thickBot="1">
      <c r="A111" s="61">
        <v>37001</v>
      </c>
      <c r="B111" s="60">
        <v>66666</v>
      </c>
      <c r="C111" s="59">
        <v>1.4999999999999999E-2</v>
      </c>
      <c r="D111" s="58">
        <v>-445</v>
      </c>
      <c r="P111" s="43">
        <v>25001</v>
      </c>
      <c r="Q111" s="43">
        <v>10000000</v>
      </c>
      <c r="R111" s="54">
        <f>Q111-P111+1</f>
        <v>9975000</v>
      </c>
      <c r="S111" s="53">
        <f>S103</f>
        <v>0.47</v>
      </c>
      <c r="T111" s="44"/>
      <c r="U111" s="50">
        <f>IF(V110='SMSF Servicing Calculator'!$D$13,0,IF(('SMSF Servicing Calculator'!$D$13-V110)&gt;R111,R111,('SMSF Servicing Calculator'!$D$13-V110)))</f>
        <v>0</v>
      </c>
      <c r="V111" s="50">
        <f>V110+U111</f>
        <v>0</v>
      </c>
      <c r="W111" s="50">
        <f>U111*S111</f>
        <v>0</v>
      </c>
      <c r="X111" s="51"/>
      <c r="Y111" s="50">
        <f>U111-W111</f>
        <v>0</v>
      </c>
    </row>
    <row r="112" spans="1:27" ht="13.5" thickBot="1">
      <c r="A112" s="61">
        <v>66667</v>
      </c>
      <c r="B112" s="60">
        <v>10000000</v>
      </c>
      <c r="C112" s="59"/>
      <c r="D112" s="58">
        <v>0</v>
      </c>
      <c r="P112" s="48"/>
      <c r="Q112" s="48"/>
      <c r="R112" s="46"/>
      <c r="S112" s="52" t="s">
        <v>59</v>
      </c>
      <c r="T112" s="44"/>
      <c r="U112" s="50">
        <f>SUM(U110:U111)</f>
        <v>0</v>
      </c>
      <c r="V112" s="50"/>
      <c r="W112" s="50">
        <f>SUM(W110:W111)</f>
        <v>0</v>
      </c>
      <c r="X112" s="51"/>
      <c r="Y112" s="50">
        <f>SUM(Y110:Y111)</f>
        <v>0</v>
      </c>
    </row>
    <row r="113" spans="1:25" ht="13.5" thickBot="1">
      <c r="P113" s="49"/>
      <c r="Q113" s="46"/>
      <c r="R113" s="46"/>
      <c r="T113" s="44"/>
      <c r="U113" s="43"/>
      <c r="V113" s="43"/>
      <c r="W113" s="43"/>
      <c r="X113" s="43"/>
      <c r="Y113" s="43"/>
    </row>
    <row r="114" spans="1:25" ht="13.5" thickBot="1">
      <c r="P114" s="48"/>
      <c r="Q114" s="47"/>
      <c r="R114" s="46"/>
      <c r="S114" s="45"/>
      <c r="T114" s="44"/>
      <c r="U114" s="43"/>
      <c r="V114" s="43"/>
      <c r="W114" s="42" t="s">
        <v>33</v>
      </c>
      <c r="X114" s="41"/>
      <c r="Y114" s="40">
        <f>(Y112/12)</f>
        <v>0</v>
      </c>
    </row>
    <row r="115" spans="1:25">
      <c r="A115" s="38">
        <f>IF($F$10&lt;=$B$109,$D$109,IF($F$10&lt;=$B$110,$D$110,IF($F$10&lt;=$B$111,(($F$10-$B$110)*$C$111)+$D$111,IF($F$10&lt;=$B$112,$D$112,0))))</f>
        <v>0</v>
      </c>
    </row>
    <row r="116" spans="1:25">
      <c r="P116" s="92" t="s">
        <v>66</v>
      </c>
      <c r="Q116" s="90"/>
      <c r="R116" s="90"/>
      <c r="S116" s="90"/>
      <c r="T116" s="90"/>
      <c r="U116" s="90"/>
      <c r="V116" s="90"/>
      <c r="W116" s="91"/>
      <c r="X116" s="91"/>
      <c r="Y116" s="91"/>
    </row>
    <row r="117" spans="1:25" ht="13.5" thickBot="1">
      <c r="P117" s="57" t="s">
        <v>64</v>
      </c>
      <c r="Q117" s="57"/>
      <c r="R117" s="46"/>
      <c r="S117" s="57" t="s">
        <v>63</v>
      </c>
      <c r="T117" s="46"/>
      <c r="U117" s="56" t="s">
        <v>62</v>
      </c>
      <c r="V117" s="56"/>
      <c r="W117" s="56" t="s">
        <v>61</v>
      </c>
      <c r="X117" s="56"/>
      <c r="Y117" s="56" t="s">
        <v>60</v>
      </c>
    </row>
    <row r="118" spans="1:25" ht="13.5" thickBot="1">
      <c r="P118" s="43">
        <v>1</v>
      </c>
      <c r="Q118" s="43">
        <v>25000</v>
      </c>
      <c r="R118" s="54">
        <f>Q118-P118+1</f>
        <v>25000</v>
      </c>
      <c r="S118" s="55">
        <f>S102</f>
        <v>0.15</v>
      </c>
      <c r="T118" s="44"/>
      <c r="U118" s="50">
        <f>IF('SMSF Servicing Calculator'!D14&lt;Q118,'SMSF Servicing Calculator'!D14,R118)</f>
        <v>0</v>
      </c>
      <c r="V118" s="50">
        <f>U118</f>
        <v>0</v>
      </c>
      <c r="W118" s="50">
        <f>U118*S118</f>
        <v>0</v>
      </c>
      <c r="X118" s="51"/>
      <c r="Y118" s="50">
        <f>V118-W118</f>
        <v>0</v>
      </c>
    </row>
    <row r="119" spans="1:25" ht="13.5" thickBot="1">
      <c r="P119" s="43">
        <v>25001</v>
      </c>
      <c r="Q119" s="43">
        <v>10000000</v>
      </c>
      <c r="R119" s="54">
        <f>Q119-P119+1</f>
        <v>9975000</v>
      </c>
      <c r="S119" s="53">
        <f>S103</f>
        <v>0.47</v>
      </c>
      <c r="T119" s="44"/>
      <c r="U119" s="50">
        <f>IF(V118='SMSF Servicing Calculator'!$D$14,0,IF(('SMSF Servicing Calculator'!$D$14-V118)&gt;R119,R119,('SMSF Servicing Calculator'!$D$14-V118)))</f>
        <v>0</v>
      </c>
      <c r="V119" s="50">
        <f>V118+U119</f>
        <v>0</v>
      </c>
      <c r="W119" s="50">
        <f>U119*S119</f>
        <v>0</v>
      </c>
      <c r="X119" s="51"/>
      <c r="Y119" s="50">
        <f>U119-W119</f>
        <v>0</v>
      </c>
    </row>
    <row r="120" spans="1:25" ht="13.5" thickBot="1">
      <c r="P120" s="48"/>
      <c r="Q120" s="48"/>
      <c r="R120" s="46"/>
      <c r="S120" s="52" t="s">
        <v>59</v>
      </c>
      <c r="T120" s="44"/>
      <c r="U120" s="50">
        <f>SUM(U118:U119)</f>
        <v>0</v>
      </c>
      <c r="V120" s="50"/>
      <c r="W120" s="50">
        <f>SUM(W118:W119)</f>
        <v>0</v>
      </c>
      <c r="X120" s="51"/>
      <c r="Y120" s="50">
        <f>SUM(Y118:Y119)</f>
        <v>0</v>
      </c>
    </row>
    <row r="121" spans="1:25" ht="13.5" thickBot="1">
      <c r="P121" s="49"/>
      <c r="Q121" s="46"/>
      <c r="R121" s="46"/>
      <c r="T121" s="44"/>
      <c r="U121" s="43"/>
      <c r="V121" s="43"/>
      <c r="W121" s="43"/>
      <c r="X121" s="43"/>
      <c r="Y121" s="43"/>
    </row>
    <row r="122" spans="1:25" ht="13.5" thickBot="1">
      <c r="P122" s="48"/>
      <c r="Q122" s="47"/>
      <c r="R122" s="46"/>
      <c r="S122" s="45"/>
      <c r="T122" s="44"/>
      <c r="U122" s="43"/>
      <c r="V122" s="43"/>
      <c r="W122" s="42" t="s">
        <v>33</v>
      </c>
      <c r="X122" s="41"/>
      <c r="Y122" s="40">
        <f>(Y120/12)</f>
        <v>0</v>
      </c>
    </row>
    <row r="124" spans="1:25">
      <c r="P124" s="92" t="s">
        <v>65</v>
      </c>
      <c r="Q124" s="90"/>
      <c r="R124" s="90"/>
      <c r="S124" s="90"/>
      <c r="T124" s="90"/>
      <c r="U124" s="90"/>
      <c r="V124" s="90"/>
      <c r="W124" s="91"/>
      <c r="X124" s="91"/>
      <c r="Y124" s="91"/>
    </row>
    <row r="125" spans="1:25" ht="13.5" thickBot="1">
      <c r="P125" s="57" t="s">
        <v>64</v>
      </c>
      <c r="Q125" s="57"/>
      <c r="R125" s="46"/>
      <c r="S125" s="57" t="s">
        <v>63</v>
      </c>
      <c r="T125" s="46"/>
      <c r="U125" s="56" t="s">
        <v>62</v>
      </c>
      <c r="V125" s="56"/>
      <c r="W125" s="56" t="s">
        <v>61</v>
      </c>
      <c r="X125" s="56"/>
      <c r="Y125" s="56" t="s">
        <v>60</v>
      </c>
    </row>
    <row r="126" spans="1:25" ht="13.5" thickBot="1">
      <c r="P126" s="43">
        <v>1</v>
      </c>
      <c r="Q126" s="43">
        <v>25000</v>
      </c>
      <c r="R126" s="54">
        <f>Q126-P126+1</f>
        <v>25000</v>
      </c>
      <c r="S126" s="55">
        <f>S102</f>
        <v>0.15</v>
      </c>
      <c r="T126" s="44"/>
      <c r="U126" s="50">
        <f>IF('SMSF Servicing Calculator'!D15&lt;Q126,'SMSF Servicing Calculator'!D15,R126)</f>
        <v>0</v>
      </c>
      <c r="V126" s="50">
        <f>U126</f>
        <v>0</v>
      </c>
      <c r="W126" s="50">
        <f>U126*S126</f>
        <v>0</v>
      </c>
      <c r="X126" s="51"/>
      <c r="Y126" s="50">
        <f>V126-W126</f>
        <v>0</v>
      </c>
    </row>
    <row r="127" spans="1:25" ht="13.5" thickBot="1">
      <c r="P127" s="43">
        <v>25001</v>
      </c>
      <c r="Q127" s="43">
        <v>10000000</v>
      </c>
      <c r="R127" s="54">
        <f>Q127-P127+1</f>
        <v>9975000</v>
      </c>
      <c r="S127" s="53">
        <f>S103</f>
        <v>0.47</v>
      </c>
      <c r="T127" s="44"/>
      <c r="U127" s="50">
        <f>IF(V126='SMSF Servicing Calculator'!$D$15,0,IF(('SMSF Servicing Calculator'!$D$15-V126)&gt;R127,R127,('SMSF Servicing Calculator'!$D$15-V126)))</f>
        <v>0</v>
      </c>
      <c r="V127" s="50">
        <f>V126+U127</f>
        <v>0</v>
      </c>
      <c r="W127" s="50">
        <f>U127*S127</f>
        <v>0</v>
      </c>
      <c r="X127" s="51"/>
      <c r="Y127" s="50">
        <f>U127-W127</f>
        <v>0</v>
      </c>
    </row>
    <row r="128" spans="1:25" ht="13.5" thickBot="1">
      <c r="P128" s="48"/>
      <c r="Q128" s="48"/>
      <c r="R128" s="46"/>
      <c r="S128" s="52" t="s">
        <v>59</v>
      </c>
      <c r="T128" s="44"/>
      <c r="U128" s="50">
        <f>SUM(U126:U127)</f>
        <v>0</v>
      </c>
      <c r="V128" s="50"/>
      <c r="W128" s="50">
        <f>SUM(W126:W127)</f>
        <v>0</v>
      </c>
      <c r="X128" s="51"/>
      <c r="Y128" s="50">
        <f>SUM(Y126:Y127)</f>
        <v>0</v>
      </c>
    </row>
    <row r="129" spans="16:25" ht="13.5" thickBot="1">
      <c r="P129" s="49"/>
      <c r="Q129" s="46"/>
      <c r="R129" s="46"/>
      <c r="T129" s="44"/>
      <c r="U129" s="43"/>
      <c r="V129" s="43"/>
      <c r="W129" s="43"/>
      <c r="X129" s="43"/>
      <c r="Y129" s="43"/>
    </row>
    <row r="130" spans="16:25" ht="13.5" thickBot="1">
      <c r="P130" s="48"/>
      <c r="Q130" s="47"/>
      <c r="R130" s="46"/>
      <c r="S130" s="45"/>
      <c r="T130" s="44"/>
      <c r="U130" s="43"/>
      <c r="V130" s="43"/>
      <c r="W130" s="42" t="s">
        <v>33</v>
      </c>
      <c r="X130" s="41"/>
      <c r="Y130" s="40">
        <f>(Y128/12)</f>
        <v>0</v>
      </c>
    </row>
  </sheetData>
  <sheetProtection algorithmName="SHA-512" hashValue="KlPeA/53q6dVyqPgicFHluCStivutcXa5PPzVzrRhU3lpe3FfJ14UnOB/29w+gaOmjL5WjQWt6ZS+qlP7s6k3g==" saltValue="Xq2sONgFzL0fExEHFxcoWA==" spinCount="100000" sheet="1" objects="1" scenarios="1"/>
  <phoneticPr fontId="95" type="noConversion"/>
  <printOptions gridLines="1" gridLinesSet="0"/>
  <pageMargins left="0.75" right="0.75" top="1" bottom="1" header="0.51181102300000003" footer="0.51181102300000003"/>
  <pageSetup paperSize="9" orientation="portrait"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848B-CABB-45F1-A3C9-718AA363BE47}">
  <sheetPr codeName="Sheet211"/>
  <dimension ref="A1:BC156"/>
  <sheetViews>
    <sheetView zoomScale="90" zoomScaleNormal="90" workbookViewId="0">
      <selection activeCell="C13" sqref="C13"/>
    </sheetView>
  </sheetViews>
  <sheetFormatPr defaultColWidth="11.42578125" defaultRowHeight="12.75"/>
  <cols>
    <col min="1" max="1" width="12.28515625" style="38" customWidth="1"/>
    <col min="2" max="2" width="15.28515625" style="38" customWidth="1"/>
    <col min="3" max="3" width="14.28515625" style="38" customWidth="1"/>
    <col min="4" max="4" width="9" style="38" customWidth="1"/>
    <col min="5" max="5" width="3.42578125" style="38" customWidth="1"/>
    <col min="6" max="7" width="11.28515625" style="38" bestFit="1" customWidth="1"/>
    <col min="8" max="8" width="18" style="38" customWidth="1"/>
    <col min="9" max="9" width="3.28515625" style="38" customWidth="1"/>
    <col min="10" max="10" width="11.28515625" style="38" bestFit="1" customWidth="1"/>
    <col min="11" max="11" width="3.42578125" style="38" customWidth="1"/>
    <col min="12" max="12" width="11.42578125" style="39"/>
    <col min="13" max="14" width="11.42578125" style="38"/>
    <col min="15" max="15" width="1.5703125" style="38" customWidth="1"/>
    <col min="16" max="16" width="11.42578125" style="38"/>
    <col min="17" max="17" width="13.7109375" style="38" customWidth="1"/>
    <col min="18" max="18" width="12.5703125" style="38" bestFit="1" customWidth="1"/>
    <col min="19" max="29" width="11.42578125" style="38"/>
    <col min="30" max="30" width="1.5703125" style="38" customWidth="1"/>
    <col min="31" max="31" width="15" style="38" customWidth="1"/>
    <col min="32" max="32" width="13.140625" style="38" customWidth="1"/>
    <col min="33" max="33" width="12" style="38" customWidth="1"/>
    <col min="34" max="34" width="9" style="38" customWidth="1"/>
    <col min="35" max="35" width="3.42578125" style="38" customWidth="1"/>
    <col min="36" max="36" width="13.140625" style="38" customWidth="1"/>
    <col min="37" max="37" width="11.28515625" style="38" bestFit="1" customWidth="1"/>
    <col min="38" max="38" width="10.42578125" style="38" customWidth="1"/>
    <col min="39" max="39" width="3.28515625" style="38" customWidth="1"/>
    <col min="40" max="40" width="11.28515625" style="38" bestFit="1" customWidth="1"/>
    <col min="41" max="41" width="3.42578125" style="38" customWidth="1"/>
    <col min="42" max="42" width="11.42578125" style="39"/>
    <col min="43" max="44" width="11.42578125" style="38"/>
    <col min="45" max="45" width="5.7109375" style="38" customWidth="1"/>
    <col min="46" max="46" width="12.42578125" style="38" customWidth="1"/>
    <col min="47" max="47" width="15.28515625" style="38" customWidth="1"/>
    <col min="48" max="48" width="13" style="38" customWidth="1"/>
    <col min="49" max="16384" width="11.42578125" style="38"/>
  </cols>
  <sheetData>
    <row r="1" spans="1:55">
      <c r="A1" s="89" t="s">
        <v>97</v>
      </c>
      <c r="B1" s="88"/>
      <c r="C1" s="88"/>
      <c r="D1" s="88"/>
      <c r="E1" s="88"/>
      <c r="F1" s="88"/>
      <c r="G1" s="88"/>
      <c r="H1" s="87"/>
      <c r="I1" s="87"/>
      <c r="J1" s="86"/>
      <c r="P1" s="89" t="s">
        <v>96</v>
      </c>
      <c r="Q1" s="88"/>
      <c r="R1" s="88"/>
      <c r="S1" s="88"/>
      <c r="T1" s="88"/>
      <c r="U1" s="88"/>
      <c r="V1" s="88"/>
      <c r="W1" s="87"/>
      <c r="X1" s="87"/>
      <c r="Y1" s="86"/>
      <c r="AA1" s="39"/>
      <c r="AE1" s="89" t="s">
        <v>95</v>
      </c>
      <c r="AF1" s="88"/>
      <c r="AG1" s="88"/>
      <c r="AH1" s="88"/>
      <c r="AI1" s="88"/>
      <c r="AJ1" s="88"/>
      <c r="AK1" s="88"/>
      <c r="AL1" s="87"/>
      <c r="AM1" s="87"/>
      <c r="AN1" s="86"/>
      <c r="AT1" s="89" t="s">
        <v>94</v>
      </c>
      <c r="AU1" s="88"/>
      <c r="AV1" s="88"/>
      <c r="AW1" s="88"/>
      <c r="AX1" s="88"/>
      <c r="AY1" s="88"/>
      <c r="AZ1" s="88"/>
      <c r="BA1" s="87"/>
      <c r="BB1" s="87"/>
      <c r="BC1" s="86"/>
    </row>
    <row r="2" spans="1:55" ht="13.5" thickBot="1">
      <c r="A2" s="85" t="s">
        <v>93</v>
      </c>
      <c r="B2" s="84"/>
      <c r="C2" s="84"/>
      <c r="D2" s="84"/>
      <c r="E2" s="84"/>
      <c r="F2" s="84"/>
      <c r="G2" s="84"/>
      <c r="H2" s="83"/>
      <c r="I2" s="83"/>
      <c r="J2" s="82"/>
      <c r="P2" s="85" t="s">
        <v>93</v>
      </c>
      <c r="Q2" s="84"/>
      <c r="R2" s="84"/>
      <c r="S2" s="84"/>
      <c r="T2" s="84"/>
      <c r="U2" s="84"/>
      <c r="V2" s="84"/>
      <c r="W2" s="83"/>
      <c r="X2" s="83"/>
      <c r="Y2" s="82"/>
      <c r="AA2" s="39"/>
      <c r="AE2" s="85" t="s">
        <v>93</v>
      </c>
      <c r="AF2" s="84"/>
      <c r="AG2" s="84"/>
      <c r="AH2" s="84"/>
      <c r="AI2" s="84"/>
      <c r="AJ2" s="84"/>
      <c r="AK2" s="84"/>
      <c r="AL2" s="83"/>
      <c r="AM2" s="83"/>
      <c r="AN2" s="82"/>
      <c r="AT2" s="85" t="s">
        <v>93</v>
      </c>
      <c r="AU2" s="84"/>
      <c r="AV2" s="84"/>
      <c r="AW2" s="84"/>
      <c r="AX2" s="84"/>
      <c r="AY2" s="84"/>
      <c r="AZ2" s="84"/>
      <c r="BA2" s="83"/>
      <c r="BB2" s="83"/>
      <c r="BC2" s="82"/>
    </row>
    <row r="3" spans="1:55">
      <c r="A3" s="90" t="s">
        <v>92</v>
      </c>
      <c r="B3" s="90"/>
      <c r="C3" s="90"/>
      <c r="D3" s="90"/>
      <c r="E3" s="90"/>
      <c r="F3" s="90"/>
      <c r="G3" s="90"/>
      <c r="H3" s="91"/>
      <c r="I3" s="91"/>
      <c r="J3" s="91"/>
      <c r="P3" s="90" t="s">
        <v>92</v>
      </c>
      <c r="Q3" s="90"/>
      <c r="R3" s="90"/>
      <c r="S3" s="90"/>
      <c r="T3" s="90"/>
      <c r="U3" s="90"/>
      <c r="V3" s="90"/>
      <c r="W3" s="91"/>
      <c r="X3" s="91"/>
      <c r="Y3" s="91"/>
      <c r="AA3" s="39"/>
      <c r="AE3" s="90" t="s">
        <v>92</v>
      </c>
      <c r="AF3" s="90"/>
      <c r="AG3" s="90"/>
      <c r="AH3" s="90"/>
      <c r="AI3" s="90"/>
      <c r="AJ3" s="90"/>
      <c r="AK3" s="90"/>
      <c r="AL3" s="91"/>
      <c r="AM3" s="91"/>
      <c r="AN3" s="91"/>
      <c r="AT3" s="90" t="s">
        <v>92</v>
      </c>
      <c r="AU3" s="90"/>
      <c r="AV3" s="90"/>
      <c r="AW3" s="90"/>
      <c r="AX3" s="90"/>
      <c r="AY3" s="90"/>
      <c r="AZ3" s="90"/>
      <c r="BA3" s="91"/>
      <c r="BB3" s="91"/>
      <c r="BC3" s="91"/>
    </row>
    <row r="4" spans="1:55" ht="13.5" thickBot="1">
      <c r="A4" s="57" t="s">
        <v>64</v>
      </c>
      <c r="B4" s="57"/>
      <c r="C4" s="46"/>
      <c r="D4" s="57" t="s">
        <v>63</v>
      </c>
      <c r="E4" s="46"/>
      <c r="F4" s="56" t="s">
        <v>62</v>
      </c>
      <c r="G4" s="56"/>
      <c r="H4" s="56" t="s">
        <v>61</v>
      </c>
      <c r="I4" s="56"/>
      <c r="J4" s="56" t="s">
        <v>60</v>
      </c>
      <c r="L4" s="77"/>
      <c r="M4" s="72"/>
      <c r="N4" s="72"/>
      <c r="P4" s="57" t="s">
        <v>64</v>
      </c>
      <c r="Q4" s="57"/>
      <c r="R4" s="46"/>
      <c r="S4" s="57" t="s">
        <v>63</v>
      </c>
      <c r="T4" s="46"/>
      <c r="U4" s="56" t="s">
        <v>62</v>
      </c>
      <c r="V4" s="56"/>
      <c r="W4" s="56" t="s">
        <v>61</v>
      </c>
      <c r="X4" s="56"/>
      <c r="Y4" s="56" t="s">
        <v>60</v>
      </c>
      <c r="AA4" s="77" t="s">
        <v>91</v>
      </c>
      <c r="AB4" s="72"/>
      <c r="AC4" s="72"/>
      <c r="AE4" s="57" t="s">
        <v>64</v>
      </c>
      <c r="AF4" s="57"/>
      <c r="AG4" s="46"/>
      <c r="AH4" s="57" t="s">
        <v>63</v>
      </c>
      <c r="AI4" s="46"/>
      <c r="AJ4" s="56" t="s">
        <v>62</v>
      </c>
      <c r="AK4" s="56"/>
      <c r="AL4" s="56" t="s">
        <v>61</v>
      </c>
      <c r="AM4" s="56"/>
      <c r="AN4" s="56" t="s">
        <v>60</v>
      </c>
      <c r="AP4" s="77" t="s">
        <v>91</v>
      </c>
      <c r="AQ4" s="72"/>
      <c r="AR4" s="72"/>
      <c r="AT4" s="57" t="s">
        <v>64</v>
      </c>
      <c r="AU4" s="57"/>
      <c r="AV4" s="46"/>
      <c r="AW4" s="57" t="s">
        <v>63</v>
      </c>
      <c r="AX4" s="46"/>
      <c r="AY4" s="56" t="s">
        <v>62</v>
      </c>
      <c r="AZ4" s="56"/>
      <c r="BA4" s="56" t="s">
        <v>61</v>
      </c>
      <c r="BB4" s="56"/>
      <c r="BC4" s="56" t="s">
        <v>60</v>
      </c>
    </row>
    <row r="5" spans="1:55" ht="13.5" thickBot="1">
      <c r="A5" s="81">
        <v>1</v>
      </c>
      <c r="B5" s="81">
        <v>18200</v>
      </c>
      <c r="C5" s="54">
        <f>B5-A5+1</f>
        <v>18200</v>
      </c>
      <c r="D5" s="53">
        <v>0</v>
      </c>
      <c r="E5" s="44"/>
      <c r="F5" s="268">
        <f>IF('Serviceability Calculator'!R33&lt;B5,'Serviceability Calculator'!R33,C5)</f>
        <v>0</v>
      </c>
      <c r="G5" s="268">
        <f>F5</f>
        <v>0</v>
      </c>
      <c r="H5" s="268">
        <f>F5*D5</f>
        <v>0</v>
      </c>
      <c r="I5" s="269"/>
      <c r="J5" s="268">
        <f>F5-H5</f>
        <v>0</v>
      </c>
      <c r="L5" s="73"/>
      <c r="M5" s="72"/>
      <c r="N5" s="72"/>
      <c r="P5" s="43">
        <f t="shared" ref="P5:S9" si="0">A5</f>
        <v>1</v>
      </c>
      <c r="Q5" s="43">
        <f t="shared" si="0"/>
        <v>18200</v>
      </c>
      <c r="R5" s="43">
        <f t="shared" si="0"/>
        <v>18200</v>
      </c>
      <c r="S5" s="78">
        <f t="shared" si="0"/>
        <v>0</v>
      </c>
      <c r="T5" s="44"/>
      <c r="U5" s="50">
        <f>IF('SMSF Servicing Calculator'!N67&lt;Q5,'SMSF Servicing Calculator'!N67,R5)</f>
        <v>0</v>
      </c>
      <c r="V5" s="50">
        <f>U5</f>
        <v>0</v>
      </c>
      <c r="W5" s="50">
        <f>U5*S5</f>
        <v>0</v>
      </c>
      <c r="X5" s="51"/>
      <c r="Y5" s="50">
        <f>U5-W5</f>
        <v>0</v>
      </c>
      <c r="AA5" s="73"/>
      <c r="AB5" s="72"/>
      <c r="AC5" s="72"/>
      <c r="AE5" s="81">
        <f t="shared" ref="AE5:AF9" si="1">P5</f>
        <v>1</v>
      </c>
      <c r="AF5" s="81">
        <f t="shared" si="1"/>
        <v>18200</v>
      </c>
      <c r="AG5" s="81">
        <f t="shared" ref="AG5:AH9" si="2">R5</f>
        <v>18200</v>
      </c>
      <c r="AH5" s="187">
        <f t="shared" si="2"/>
        <v>0</v>
      </c>
      <c r="AI5" s="44"/>
      <c r="AJ5" s="50" t="e">
        <f>IF(#REF!&lt;AF5,#REF!,AG5)</f>
        <v>#REF!</v>
      </c>
      <c r="AK5" s="50" t="e">
        <f>AJ5</f>
        <v>#REF!</v>
      </c>
      <c r="AL5" s="50" t="e">
        <f>AJ5*AH5</f>
        <v>#REF!</v>
      </c>
      <c r="AM5" s="51"/>
      <c r="AN5" s="50" t="e">
        <f>AJ5-AL5</f>
        <v>#REF!</v>
      </c>
      <c r="AP5" s="73"/>
      <c r="AQ5" s="72"/>
      <c r="AR5" s="72"/>
      <c r="AT5" s="43">
        <f t="shared" ref="AT5:AW9" si="3">A5</f>
        <v>1</v>
      </c>
      <c r="AU5" s="43">
        <f t="shared" si="3"/>
        <v>18200</v>
      </c>
      <c r="AV5" s="43">
        <f t="shared" si="3"/>
        <v>18200</v>
      </c>
      <c r="AW5" s="78">
        <f t="shared" si="3"/>
        <v>0</v>
      </c>
      <c r="AX5" s="44"/>
      <c r="AY5" s="50">
        <v>0</v>
      </c>
      <c r="AZ5" s="50">
        <f>AY5</f>
        <v>0</v>
      </c>
      <c r="BA5" s="50">
        <f>AY5*AW5</f>
        <v>0</v>
      </c>
      <c r="BB5" s="51"/>
      <c r="BC5" s="50">
        <f>AY5-BA5</f>
        <v>0</v>
      </c>
    </row>
    <row r="6" spans="1:55" ht="13.5" thickBot="1">
      <c r="A6" s="81">
        <v>18201</v>
      </c>
      <c r="B6" s="81">
        <v>45000</v>
      </c>
      <c r="C6" s="54">
        <f>B6-A6+1</f>
        <v>26800</v>
      </c>
      <c r="D6" s="53">
        <v>0.16</v>
      </c>
      <c r="E6" s="44"/>
      <c r="F6" s="268">
        <f>IF(G5='Serviceability Calculator'!R33,0,IF(('Serviceability Calculator'!R33-G5)&gt;C6,C6,('Serviceability Calculator'!R33-G5)))</f>
        <v>0</v>
      </c>
      <c r="G6" s="268">
        <f>G5+F6</f>
        <v>0</v>
      </c>
      <c r="H6" s="268">
        <f>F6*D6</f>
        <v>0</v>
      </c>
      <c r="I6" s="269"/>
      <c r="J6" s="268">
        <f>F6-H6</f>
        <v>0</v>
      </c>
      <c r="L6" s="73"/>
      <c r="M6" s="72"/>
      <c r="N6" s="72"/>
      <c r="P6" s="43">
        <f t="shared" si="0"/>
        <v>18201</v>
      </c>
      <c r="Q6" s="43">
        <f t="shared" si="0"/>
        <v>45000</v>
      </c>
      <c r="R6" s="43">
        <f>C6</f>
        <v>26800</v>
      </c>
      <c r="S6" s="78">
        <f t="shared" si="0"/>
        <v>0.16</v>
      </c>
      <c r="T6" s="44"/>
      <c r="U6" s="50">
        <f>IF(V5='SMSF Servicing Calculator'!$N$67,0,IF(('SMSF Servicing Calculator'!$N$67-V5)&gt;R6,R6,('SMSF Servicing Calculator'!$N$67-V5)))</f>
        <v>0</v>
      </c>
      <c r="V6" s="50">
        <f>V5+U6</f>
        <v>0</v>
      </c>
      <c r="W6" s="50">
        <f>U6*S6</f>
        <v>0</v>
      </c>
      <c r="X6" s="51"/>
      <c r="Y6" s="50">
        <f>U6-W6</f>
        <v>0</v>
      </c>
      <c r="AA6" s="73"/>
      <c r="AB6" s="72"/>
      <c r="AC6" s="72"/>
      <c r="AE6" s="81">
        <f t="shared" si="1"/>
        <v>18201</v>
      </c>
      <c r="AF6" s="81">
        <f t="shared" si="1"/>
        <v>45000</v>
      </c>
      <c r="AG6" s="81">
        <f t="shared" si="2"/>
        <v>26800</v>
      </c>
      <c r="AH6" s="187">
        <f t="shared" si="2"/>
        <v>0.16</v>
      </c>
      <c r="AI6" s="44"/>
      <c r="AJ6" s="50" t="e">
        <f>IF(AK5=#REF!,0,IF((#REF!-0)&gt;AG6,AG6,(#REF!-0)))</f>
        <v>#REF!</v>
      </c>
      <c r="AK6" s="50" t="e">
        <f>AK5+AJ6</f>
        <v>#REF!</v>
      </c>
      <c r="AL6" s="50" t="e">
        <f>AJ6*AH6</f>
        <v>#REF!</v>
      </c>
      <c r="AM6" s="51"/>
      <c r="AN6" s="50" t="e">
        <f>AJ6-AL6</f>
        <v>#REF!</v>
      </c>
      <c r="AP6" s="73"/>
      <c r="AQ6" s="72"/>
      <c r="AR6" s="72"/>
      <c r="AT6" s="43">
        <f t="shared" si="3"/>
        <v>18201</v>
      </c>
      <c r="AU6" s="43">
        <f t="shared" si="3"/>
        <v>45000</v>
      </c>
      <c r="AV6" s="43">
        <f t="shared" si="3"/>
        <v>26800</v>
      </c>
      <c r="AW6" s="78">
        <f t="shared" si="3"/>
        <v>0.16</v>
      </c>
      <c r="AX6" s="44"/>
      <c r="AY6" s="50">
        <v>0</v>
      </c>
      <c r="AZ6" s="50">
        <f>AZ5+AY6</f>
        <v>0</v>
      </c>
      <c r="BA6" s="50">
        <f>AY6*AW6</f>
        <v>0</v>
      </c>
      <c r="BB6" s="51"/>
      <c r="BC6" s="50">
        <f>AY6-BA6</f>
        <v>0</v>
      </c>
    </row>
    <row r="7" spans="1:55" ht="13.5" thickBot="1">
      <c r="A7" s="81">
        <v>45001</v>
      </c>
      <c r="B7" s="81">
        <v>135000</v>
      </c>
      <c r="C7" s="54">
        <f>B7-A7+1</f>
        <v>90000</v>
      </c>
      <c r="D7" s="53">
        <v>0.3</v>
      </c>
      <c r="E7" s="44"/>
      <c r="F7" s="268">
        <f>IF(G6='Serviceability Calculator'!R33,0,IF(('Serviceability Calculator'!R33-G6)&gt;C7,C7,('Serviceability Calculator'!R33-G6)))</f>
        <v>0</v>
      </c>
      <c r="G7" s="268">
        <f>G6+F7</f>
        <v>0</v>
      </c>
      <c r="H7" s="268">
        <f>F7*D7</f>
        <v>0</v>
      </c>
      <c r="I7" s="269"/>
      <c r="J7" s="268">
        <f>F7-H7</f>
        <v>0</v>
      </c>
      <c r="L7" s="79"/>
      <c r="M7" s="72"/>
      <c r="N7" s="72"/>
      <c r="P7" s="43">
        <f t="shared" si="0"/>
        <v>45001</v>
      </c>
      <c r="Q7" s="43">
        <f t="shared" si="0"/>
        <v>135000</v>
      </c>
      <c r="R7" s="43">
        <f t="shared" si="0"/>
        <v>90000</v>
      </c>
      <c r="S7" s="78">
        <f t="shared" si="0"/>
        <v>0.3</v>
      </c>
      <c r="T7" s="44"/>
      <c r="U7" s="50">
        <f>IF(V6='SMSF Servicing Calculator'!$N$67,0,IF(('SMSF Servicing Calculator'!$N$67-V6)&gt;R7,R7,('SMSF Servicing Calculator'!$N$67-V6)))</f>
        <v>0</v>
      </c>
      <c r="V7" s="50">
        <f>V6+U7</f>
        <v>0</v>
      </c>
      <c r="W7" s="50">
        <f>U7*S7</f>
        <v>0</v>
      </c>
      <c r="X7" s="51"/>
      <c r="Y7" s="50">
        <f>U7-W7</f>
        <v>0</v>
      </c>
      <c r="AA7" s="79">
        <f>IF(U7&gt;13000,(U7-13000)*0.5%,0)</f>
        <v>0</v>
      </c>
      <c r="AB7" s="72"/>
      <c r="AC7" s="72"/>
      <c r="AE7" s="81">
        <f t="shared" si="1"/>
        <v>45001</v>
      </c>
      <c r="AF7" s="81">
        <f t="shared" si="1"/>
        <v>135000</v>
      </c>
      <c r="AG7" s="81">
        <f t="shared" si="2"/>
        <v>90000</v>
      </c>
      <c r="AH7" s="187">
        <f t="shared" si="2"/>
        <v>0.3</v>
      </c>
      <c r="AI7" s="44"/>
      <c r="AJ7" s="50" t="e">
        <f>IF(AK6=#REF!,0,IF((#REF!-AK6)&gt;AG7,AG7,(#REF!-AK6)))</f>
        <v>#REF!</v>
      </c>
      <c r="AK7" s="50" t="e">
        <f>AK6+AJ7</f>
        <v>#REF!</v>
      </c>
      <c r="AL7" s="50" t="e">
        <f>AJ7*AH7</f>
        <v>#REF!</v>
      </c>
      <c r="AM7" s="51"/>
      <c r="AN7" s="50" t="e">
        <f>AJ7-AL7</f>
        <v>#REF!</v>
      </c>
      <c r="AP7" s="79" t="e">
        <f>IF(AJ7&gt;13000,(AJ7-13000)*0.5%,0)</f>
        <v>#REF!</v>
      </c>
      <c r="AQ7" s="72"/>
      <c r="AR7" s="72"/>
      <c r="AT7" s="43">
        <f t="shared" si="3"/>
        <v>45001</v>
      </c>
      <c r="AU7" s="43">
        <f t="shared" si="3"/>
        <v>135000</v>
      </c>
      <c r="AV7" s="43">
        <f t="shared" si="3"/>
        <v>90000</v>
      </c>
      <c r="AW7" s="78">
        <f t="shared" si="3"/>
        <v>0.3</v>
      </c>
      <c r="AX7" s="44"/>
      <c r="AY7" s="50">
        <v>0</v>
      </c>
      <c r="AZ7" s="50">
        <f>AZ6+AY7</f>
        <v>0</v>
      </c>
      <c r="BA7" s="50">
        <f>AY7*AW7</f>
        <v>0</v>
      </c>
      <c r="BB7" s="51"/>
      <c r="BC7" s="50">
        <f>AY7-BA7</f>
        <v>0</v>
      </c>
    </row>
    <row r="8" spans="1:55" ht="13.5" thickBot="1">
      <c r="A8" s="81">
        <v>135001</v>
      </c>
      <c r="B8" s="81">
        <v>190001</v>
      </c>
      <c r="C8" s="54">
        <f>B8-A8+1</f>
        <v>55001</v>
      </c>
      <c r="D8" s="53">
        <v>0.37</v>
      </c>
      <c r="E8" s="44"/>
      <c r="F8" s="268">
        <f>IF(G7='Serviceability Calculator'!R33,0,IF(('Serviceability Calculator'!R33-G7)&gt;C8,C8,('Serviceability Calculator'!R33-G7)))</f>
        <v>0</v>
      </c>
      <c r="G8" s="268">
        <f>G7+F8</f>
        <v>0</v>
      </c>
      <c r="H8" s="268">
        <f>F8*D8</f>
        <v>0</v>
      </c>
      <c r="I8" s="269"/>
      <c r="J8" s="268">
        <f>F8-H8</f>
        <v>0</v>
      </c>
      <c r="L8" s="73"/>
      <c r="M8" s="79"/>
      <c r="N8" s="80"/>
      <c r="P8" s="43">
        <f t="shared" si="0"/>
        <v>135001</v>
      </c>
      <c r="Q8" s="43">
        <f t="shared" si="0"/>
        <v>190001</v>
      </c>
      <c r="R8" s="43">
        <f t="shared" si="0"/>
        <v>55001</v>
      </c>
      <c r="S8" s="78">
        <f t="shared" si="0"/>
        <v>0.37</v>
      </c>
      <c r="T8" s="44"/>
      <c r="U8" s="50">
        <f>IF(V7='SMSF Servicing Calculator'!$N$67,0,IF(('SMSF Servicing Calculator'!$N$67-V7)&gt;R8,R8,('SMSF Servicing Calculator'!$N$67-V7)))</f>
        <v>0</v>
      </c>
      <c r="V8" s="50">
        <f>V7+U8</f>
        <v>0</v>
      </c>
      <c r="W8" s="50">
        <f>U8*S8</f>
        <v>0</v>
      </c>
      <c r="X8" s="51"/>
      <c r="Y8" s="50">
        <f>U8-W8</f>
        <v>0</v>
      </c>
      <c r="AA8" s="73">
        <f>SUM(AB8:AC8)</f>
        <v>0</v>
      </c>
      <c r="AB8" s="79">
        <f>IF(U8&lt;=20000,U8*0.5%,0)</f>
        <v>0</v>
      </c>
      <c r="AC8" s="80">
        <f>IF(U8&gt;20000,((U8-20000)*1%)+100,0)</f>
        <v>0</v>
      </c>
      <c r="AE8" s="81">
        <f t="shared" si="1"/>
        <v>135001</v>
      </c>
      <c r="AF8" s="81">
        <f t="shared" si="1"/>
        <v>190001</v>
      </c>
      <c r="AG8" s="81">
        <f t="shared" si="2"/>
        <v>55001</v>
      </c>
      <c r="AH8" s="187">
        <f t="shared" si="2"/>
        <v>0.37</v>
      </c>
      <c r="AI8" s="44"/>
      <c r="AJ8" s="50" t="e">
        <f>IF(AK7=#REF!,0,IF((#REF!-AK7)&gt;AG8,AG8,(#REF!-AK7)))</f>
        <v>#REF!</v>
      </c>
      <c r="AK8" s="50" t="e">
        <f>AK7+AJ8</f>
        <v>#REF!</v>
      </c>
      <c r="AL8" s="50" t="e">
        <f>AJ8*AH8</f>
        <v>#REF!</v>
      </c>
      <c r="AM8" s="51"/>
      <c r="AN8" s="50" t="e">
        <f>AJ8-AL8</f>
        <v>#REF!</v>
      </c>
      <c r="AP8" s="73" t="e">
        <f>SUM(AQ8:AR8)</f>
        <v>#REF!</v>
      </c>
      <c r="AQ8" s="79" t="e">
        <f>IF(AJ8&lt;=20000,AJ8*0.5%,0)</f>
        <v>#REF!</v>
      </c>
      <c r="AR8" s="80" t="e">
        <f>IF(AJ8&gt;20000,((AJ8-20000)*1%)+100,0)</f>
        <v>#REF!</v>
      </c>
      <c r="AT8" s="43">
        <f t="shared" si="3"/>
        <v>135001</v>
      </c>
      <c r="AU8" s="43">
        <f t="shared" si="3"/>
        <v>190001</v>
      </c>
      <c r="AV8" s="43">
        <f t="shared" si="3"/>
        <v>55001</v>
      </c>
      <c r="AW8" s="78">
        <f t="shared" si="3"/>
        <v>0.37</v>
      </c>
      <c r="AX8" s="44"/>
      <c r="AY8" s="50">
        <v>0</v>
      </c>
      <c r="AZ8" s="50">
        <f>AZ7+AY8</f>
        <v>0</v>
      </c>
      <c r="BA8" s="50">
        <f>AY8*AW8</f>
        <v>0</v>
      </c>
      <c r="BB8" s="51"/>
      <c r="BC8" s="50">
        <f>AY8-BA8</f>
        <v>0</v>
      </c>
    </row>
    <row r="9" spans="1:55" ht="13.5" thickBot="1">
      <c r="A9" s="81">
        <v>190001</v>
      </c>
      <c r="B9" s="81">
        <v>100000000</v>
      </c>
      <c r="C9" s="54">
        <f>B9-A9+1</f>
        <v>99810000</v>
      </c>
      <c r="D9" s="53">
        <v>0.45</v>
      </c>
      <c r="E9" s="44"/>
      <c r="F9" s="268">
        <f>IF('Serviceability Calculator'!R33-G8&lt;=0,0,('Serviceability Calculator'!R33-G8))</f>
        <v>0</v>
      </c>
      <c r="G9" s="268">
        <f>G8+F9</f>
        <v>0</v>
      </c>
      <c r="H9" s="268">
        <f>F9*D9</f>
        <v>0</v>
      </c>
      <c r="I9" s="269"/>
      <c r="J9" s="268">
        <f>F9-H9</f>
        <v>0</v>
      </c>
      <c r="L9" s="79"/>
      <c r="M9" s="72"/>
      <c r="N9" s="72"/>
      <c r="P9" s="43">
        <f t="shared" si="0"/>
        <v>190001</v>
      </c>
      <c r="Q9" s="43">
        <f t="shared" si="0"/>
        <v>100000000</v>
      </c>
      <c r="R9" s="43">
        <f t="shared" si="0"/>
        <v>99810000</v>
      </c>
      <c r="S9" s="78">
        <f t="shared" si="0"/>
        <v>0.45</v>
      </c>
      <c r="T9" s="44"/>
      <c r="U9" s="50">
        <f>IF(V8='SMSF Servicing Calculator'!$N$67,0,IF(('SMSF Servicing Calculator'!$N$67-V8)&gt;R9,R9,('SMSF Servicing Calculator'!$N$67-V8)))</f>
        <v>0</v>
      </c>
      <c r="V9" s="50">
        <f>V8+U9</f>
        <v>0</v>
      </c>
      <c r="W9" s="50">
        <f>U9*S9</f>
        <v>0</v>
      </c>
      <c r="X9" s="51"/>
      <c r="Y9" s="50">
        <f>U9-W9</f>
        <v>0</v>
      </c>
      <c r="AA9" s="79">
        <f>U9*1%</f>
        <v>0</v>
      </c>
      <c r="AB9" s="72"/>
      <c r="AC9" s="72"/>
      <c r="AE9" s="81">
        <f t="shared" si="1"/>
        <v>190001</v>
      </c>
      <c r="AF9" s="81">
        <f t="shared" si="1"/>
        <v>100000000</v>
      </c>
      <c r="AG9" s="81">
        <f t="shared" si="2"/>
        <v>99810000</v>
      </c>
      <c r="AH9" s="187">
        <f t="shared" si="2"/>
        <v>0.45</v>
      </c>
      <c r="AI9" s="44"/>
      <c r="AJ9" s="50" t="e">
        <f>IF(#REF!-AK8&lt;=0,0,(#REF!-AK8))</f>
        <v>#REF!</v>
      </c>
      <c r="AK9" s="50" t="e">
        <f>AK8+AJ9</f>
        <v>#REF!</v>
      </c>
      <c r="AL9" s="50" t="e">
        <f>AJ9*AH9</f>
        <v>#REF!</v>
      </c>
      <c r="AM9" s="51"/>
      <c r="AN9" s="50" t="e">
        <f>AJ9-AL9</f>
        <v>#REF!</v>
      </c>
      <c r="AP9" s="79" t="e">
        <f>AJ9*1%</f>
        <v>#REF!</v>
      </c>
      <c r="AQ9" s="72"/>
      <c r="AR9" s="72"/>
      <c r="AT9" s="43">
        <f t="shared" si="3"/>
        <v>190001</v>
      </c>
      <c r="AU9" s="43">
        <f t="shared" si="3"/>
        <v>100000000</v>
      </c>
      <c r="AV9" s="43">
        <f t="shared" si="3"/>
        <v>99810000</v>
      </c>
      <c r="AW9" s="78">
        <f t="shared" si="3"/>
        <v>0.45</v>
      </c>
      <c r="AX9" s="44"/>
      <c r="AY9" s="50">
        <v>0</v>
      </c>
      <c r="AZ9" s="50">
        <f>AZ8+AY9</f>
        <v>0</v>
      </c>
      <c r="BA9" s="50">
        <f>AY9*AW9</f>
        <v>0</v>
      </c>
      <c r="BB9" s="51"/>
      <c r="BC9" s="50">
        <f>AY9-BA9</f>
        <v>0</v>
      </c>
    </row>
    <row r="10" spans="1:55" ht="13.5" thickBot="1">
      <c r="A10" s="48"/>
      <c r="B10" s="48"/>
      <c r="C10" s="46"/>
      <c r="D10" s="52" t="s">
        <v>59</v>
      </c>
      <c r="E10" s="44"/>
      <c r="F10" s="268">
        <f>SUM(F5:F9)</f>
        <v>0</v>
      </c>
      <c r="G10" s="268"/>
      <c r="H10" s="268">
        <f>SUM(H5:H9)</f>
        <v>0</v>
      </c>
      <c r="I10" s="269"/>
      <c r="J10" s="268">
        <f>SUM(J5:J9)</f>
        <v>0</v>
      </c>
      <c r="L10" s="77"/>
      <c r="M10" s="72"/>
      <c r="N10" s="72"/>
      <c r="P10" s="48"/>
      <c r="Q10" s="48"/>
      <c r="R10" s="46"/>
      <c r="S10" s="52" t="s">
        <v>59</v>
      </c>
      <c r="T10" s="44"/>
      <c r="U10" s="50">
        <f>SUM(U5:U9)</f>
        <v>0</v>
      </c>
      <c r="V10" s="50"/>
      <c r="W10" s="50">
        <f>SUM(W5:W9)</f>
        <v>0</v>
      </c>
      <c r="X10" s="51"/>
      <c r="Y10" s="50">
        <f>SUM(Y5:Y9)</f>
        <v>0</v>
      </c>
      <c r="AA10" s="77">
        <f>SUM(AA7:AA9)</f>
        <v>0</v>
      </c>
      <c r="AB10" s="72"/>
      <c r="AC10" s="72"/>
      <c r="AE10" s="48"/>
      <c r="AF10" s="48"/>
      <c r="AG10" s="46"/>
      <c r="AH10" s="52" t="s">
        <v>59</v>
      </c>
      <c r="AI10" s="44"/>
      <c r="AJ10" s="50" t="e">
        <f>IF(#REF!&lt;0,SUM(AJ5:AJ9),SUM(AJ6:AJ9))</f>
        <v>#REF!</v>
      </c>
      <c r="AK10" s="50"/>
      <c r="AL10" s="50" t="e">
        <f>SUM(AL5:AL9)</f>
        <v>#REF!</v>
      </c>
      <c r="AM10" s="51"/>
      <c r="AN10" s="50" t="e">
        <f>SUM(AN5:AN9)</f>
        <v>#REF!</v>
      </c>
      <c r="AP10" s="77" t="e">
        <f>SUM(AP7:AP9)</f>
        <v>#REF!</v>
      </c>
      <c r="AQ10" s="72"/>
      <c r="AR10" s="72"/>
      <c r="AT10" s="48"/>
      <c r="AU10" s="48"/>
      <c r="AV10" s="46"/>
      <c r="AW10" s="52" t="s">
        <v>59</v>
      </c>
      <c r="AX10" s="44"/>
      <c r="AY10" s="50">
        <f>SUM(AY5:AY9)</f>
        <v>0</v>
      </c>
      <c r="AZ10" s="50"/>
      <c r="BA10" s="50">
        <f>SUM(BA5:BA9)</f>
        <v>0</v>
      </c>
      <c r="BB10" s="51"/>
      <c r="BC10" s="50">
        <f>SUM(BC5:BC9)</f>
        <v>0</v>
      </c>
    </row>
    <row r="11" spans="1:55">
      <c r="A11" s="65" t="s">
        <v>86</v>
      </c>
      <c r="C11" s="75">
        <v>0</v>
      </c>
      <c r="D11" s="76" t="s">
        <v>84</v>
      </c>
      <c r="E11" s="44"/>
      <c r="F11" s="270"/>
      <c r="G11" s="270"/>
      <c r="H11" s="270"/>
      <c r="I11" s="270"/>
      <c r="J11" s="270"/>
      <c r="L11" s="73"/>
      <c r="M11" s="72"/>
      <c r="N11" s="72"/>
      <c r="P11" s="65" t="s">
        <v>86</v>
      </c>
      <c r="R11" s="75">
        <v>0</v>
      </c>
      <c r="S11" s="76" t="s">
        <v>84</v>
      </c>
      <c r="T11" s="44"/>
      <c r="U11" s="43"/>
      <c r="V11" s="43"/>
      <c r="W11" s="43"/>
      <c r="X11" s="43"/>
      <c r="Y11" s="43"/>
      <c r="AA11" s="73"/>
      <c r="AB11" s="72"/>
      <c r="AC11" s="72"/>
      <c r="AE11" s="65" t="s">
        <v>87</v>
      </c>
      <c r="AG11" s="75">
        <v>0</v>
      </c>
      <c r="AH11" s="76" t="s">
        <v>48</v>
      </c>
      <c r="AI11" s="44"/>
      <c r="AJ11" s="43"/>
      <c r="AK11" s="43"/>
      <c r="AL11" s="43"/>
      <c r="AM11" s="43"/>
      <c r="AN11" s="43"/>
      <c r="AP11" s="73"/>
      <c r="AQ11" s="72"/>
      <c r="AR11" s="72"/>
      <c r="AT11" s="65" t="s">
        <v>86</v>
      </c>
      <c r="AV11" s="75">
        <f>IF($AY$10&lt;=$B$97,$D$97,(IF($AY$10&lt;=$B$98,$D$98,IF($AY$10&lt;=$B$99,(($AY$10-$B$98)*$C$99)+$D$99,IF($AY$10&lt;=$B$100,$D$100,IF($AY$10&lt;=$B$101,(($AY$10-$B$100)*$C$101)+$D$101,IF($AY$10&lt;=$B$102,$D$102,0)))))))/12</f>
        <v>0</v>
      </c>
      <c r="AW11" s="76" t="s">
        <v>84</v>
      </c>
      <c r="AX11" s="44"/>
      <c r="AY11" s="43"/>
      <c r="AZ11" s="43"/>
      <c r="BA11" s="43"/>
      <c r="BB11" s="43"/>
      <c r="BC11" s="43"/>
    </row>
    <row r="12" spans="1:55">
      <c r="A12" s="65" t="s">
        <v>85</v>
      </c>
      <c r="C12" s="75">
        <v>0</v>
      </c>
      <c r="D12" s="76" t="s">
        <v>84</v>
      </c>
      <c r="E12" s="44"/>
      <c r="F12" s="270"/>
      <c r="G12" s="270"/>
      <c r="H12" s="270"/>
      <c r="I12" s="270"/>
      <c r="J12" s="270"/>
      <c r="L12" s="73"/>
      <c r="M12" s="72"/>
      <c r="N12" s="72"/>
      <c r="P12" s="65" t="s">
        <v>85</v>
      </c>
      <c r="R12" s="75">
        <v>0</v>
      </c>
      <c r="S12" s="76" t="s">
        <v>84</v>
      </c>
      <c r="T12" s="44"/>
      <c r="U12" s="43"/>
      <c r="V12" s="43"/>
      <c r="W12" s="43"/>
      <c r="X12" s="43"/>
      <c r="Y12" s="43"/>
      <c r="AA12" s="73"/>
      <c r="AB12" s="72"/>
      <c r="AC12" s="72"/>
      <c r="AE12" s="65"/>
      <c r="AG12" s="75"/>
      <c r="AH12" s="76"/>
      <c r="AI12" s="44"/>
      <c r="AJ12" s="43"/>
      <c r="AK12" s="43"/>
      <c r="AL12" s="43"/>
      <c r="AM12" s="43"/>
      <c r="AN12" s="43"/>
      <c r="AP12" s="73"/>
      <c r="AQ12" s="72"/>
      <c r="AR12" s="72"/>
      <c r="AT12" s="65" t="s">
        <v>85</v>
      </c>
      <c r="AV12" s="75">
        <f>IF($AY$10&lt;=$B$109,$D$109,IF($AY$10&lt;=$B$110,$D$110,IF($AY$10&lt;=$B$111,(($AY$10-$B$110)*$C$111)+$D$111,IF($AY$10&lt;=$B$112,$D$112,0))))/12</f>
        <v>0</v>
      </c>
      <c r="AW12" s="76" t="s">
        <v>84</v>
      </c>
      <c r="AX12" s="44"/>
      <c r="AY12" s="43"/>
      <c r="AZ12" s="43"/>
      <c r="BA12" s="43"/>
      <c r="BB12" s="43"/>
      <c r="BC12" s="43"/>
    </row>
    <row r="13" spans="1:55" ht="13.5" thickBot="1">
      <c r="A13" s="57" t="s">
        <v>83</v>
      </c>
      <c r="C13" s="75">
        <f>F10*(2/100)/12</f>
        <v>0</v>
      </c>
      <c r="D13" s="74">
        <v>0.02</v>
      </c>
      <c r="E13" s="44"/>
      <c r="F13" s="270"/>
      <c r="G13" s="270"/>
      <c r="H13" s="270"/>
      <c r="I13" s="270"/>
      <c r="J13" s="270"/>
      <c r="L13" s="73"/>
      <c r="M13" s="72"/>
      <c r="N13" s="72"/>
      <c r="P13" s="57" t="s">
        <v>83</v>
      </c>
      <c r="R13" s="75">
        <f>U10*(2/100)/12</f>
        <v>0</v>
      </c>
      <c r="S13" s="74">
        <v>0.02</v>
      </c>
      <c r="T13" s="44"/>
      <c r="U13" s="43"/>
      <c r="V13" s="43"/>
      <c r="W13" s="43"/>
      <c r="X13" s="43"/>
      <c r="Y13" s="43"/>
      <c r="AA13" s="73"/>
      <c r="AB13" s="72"/>
      <c r="AC13" s="72"/>
      <c r="AE13" s="57" t="s">
        <v>83</v>
      </c>
      <c r="AG13" s="75">
        <v>0</v>
      </c>
      <c r="AH13" s="76" t="s">
        <v>48</v>
      </c>
      <c r="AI13" s="44"/>
      <c r="AJ13" s="43"/>
      <c r="AK13" s="43"/>
      <c r="AL13" s="43"/>
      <c r="AM13" s="43"/>
      <c r="AN13" s="43"/>
      <c r="AP13" s="73"/>
      <c r="AQ13" s="72"/>
      <c r="AR13" s="72"/>
      <c r="AT13" s="57" t="s">
        <v>83</v>
      </c>
      <c r="AV13" s="75">
        <f>AY10*(2/100)/12</f>
        <v>0</v>
      </c>
      <c r="AW13" s="74">
        <v>0.02</v>
      </c>
      <c r="AX13" s="44"/>
      <c r="AY13" s="43"/>
      <c r="AZ13" s="43"/>
      <c r="BA13" s="43"/>
      <c r="BB13" s="43"/>
      <c r="BC13" s="43"/>
    </row>
    <row r="14" spans="1:55" ht="13.5" thickBot="1">
      <c r="A14" s="48"/>
      <c r="B14" s="47"/>
      <c r="C14" s="71">
        <f>SUM(C11:C13)</f>
        <v>0</v>
      </c>
      <c r="D14" s="45"/>
      <c r="E14" s="44"/>
      <c r="F14" s="270"/>
      <c r="G14" s="270"/>
      <c r="H14" s="271" t="s">
        <v>33</v>
      </c>
      <c r="I14" s="272"/>
      <c r="J14" s="273">
        <f>(J10/12)-C14</f>
        <v>0</v>
      </c>
      <c r="L14" s="73"/>
      <c r="M14" s="72"/>
      <c r="N14" s="72"/>
      <c r="P14" s="48"/>
      <c r="Q14" s="47"/>
      <c r="R14" s="71">
        <f>SUM(R11:R13)</f>
        <v>0</v>
      </c>
      <c r="S14" s="45"/>
      <c r="T14" s="44"/>
      <c r="U14" s="43"/>
      <c r="V14" s="43"/>
      <c r="W14" s="42" t="s">
        <v>33</v>
      </c>
      <c r="X14" s="41"/>
      <c r="Y14" s="40">
        <f>(Y10/12)-R14</f>
        <v>0</v>
      </c>
      <c r="AA14" s="73"/>
      <c r="AB14" s="72"/>
      <c r="AC14" s="72"/>
      <c r="AE14" s="48"/>
      <c r="AF14" s="47"/>
      <c r="AG14" s="71">
        <f>SUM(AG11:AG13)</f>
        <v>0</v>
      </c>
      <c r="AH14" s="45"/>
      <c r="AI14" s="44"/>
      <c r="AJ14" s="43"/>
      <c r="AK14" s="43"/>
      <c r="AL14" s="42" t="s">
        <v>33</v>
      </c>
      <c r="AM14" s="41"/>
      <c r="AN14" s="40" t="e">
        <f>(AN10/12)-AG14</f>
        <v>#REF!</v>
      </c>
      <c r="AP14" s="73"/>
      <c r="AQ14" s="72"/>
      <c r="AR14" s="72"/>
      <c r="AT14" s="48"/>
      <c r="AU14" s="47"/>
      <c r="AV14" s="71">
        <f>SUM(AV11:AV13)</f>
        <v>0</v>
      </c>
      <c r="AW14" s="45"/>
      <c r="AX14" s="44"/>
      <c r="AY14" s="43"/>
      <c r="AZ14" s="43"/>
      <c r="BA14" s="42" t="s">
        <v>33</v>
      </c>
      <c r="BB14" s="41"/>
      <c r="BC14" s="40">
        <f>(BC10/12)-AV14</f>
        <v>0</v>
      </c>
    </row>
    <row r="15" spans="1:55">
      <c r="A15" s="46"/>
      <c r="B15" s="46"/>
      <c r="C15" s="46"/>
      <c r="E15" s="46"/>
      <c r="F15" s="46"/>
      <c r="G15" s="46"/>
      <c r="H15" s="46"/>
      <c r="I15" s="46"/>
      <c r="J15" s="46"/>
      <c r="L15" s="73"/>
      <c r="M15" s="72"/>
      <c r="N15" s="72"/>
      <c r="P15" s="46"/>
      <c r="Q15" s="46"/>
      <c r="R15" s="46"/>
      <c r="T15" s="46"/>
      <c r="U15" s="46"/>
      <c r="V15" s="46"/>
      <c r="W15" s="46"/>
      <c r="X15" s="46"/>
      <c r="Y15" s="46"/>
      <c r="AA15" s="73"/>
      <c r="AB15" s="72"/>
      <c r="AC15" s="72"/>
      <c r="AE15" s="46"/>
      <c r="AF15" s="46"/>
      <c r="AG15" s="46"/>
      <c r="AI15" s="46"/>
      <c r="AJ15" s="46"/>
      <c r="AK15" s="46"/>
      <c r="AL15" s="46"/>
      <c r="AM15" s="46"/>
      <c r="AN15" s="46"/>
      <c r="AP15" s="73"/>
      <c r="AQ15" s="72"/>
      <c r="AR15" s="72"/>
      <c r="AT15" s="46"/>
      <c r="AU15" s="46"/>
      <c r="AV15" s="46"/>
      <c r="AX15" s="46"/>
      <c r="AY15" s="46"/>
      <c r="AZ15" s="46"/>
      <c r="BA15" s="46"/>
      <c r="BB15" s="46"/>
      <c r="BC15" s="46"/>
    </row>
    <row r="16" spans="1:55">
      <c r="A16" s="90" t="s">
        <v>90</v>
      </c>
      <c r="B16" s="90"/>
      <c r="C16" s="90"/>
      <c r="D16" s="90"/>
      <c r="E16" s="90"/>
      <c r="F16" s="90"/>
      <c r="G16" s="90"/>
      <c r="H16" s="91"/>
      <c r="I16" s="91"/>
      <c r="J16" s="91"/>
      <c r="L16" s="73"/>
      <c r="M16" s="72"/>
      <c r="N16" s="72"/>
      <c r="P16" s="90" t="s">
        <v>90</v>
      </c>
      <c r="Q16" s="90"/>
      <c r="R16" s="90"/>
      <c r="S16" s="90"/>
      <c r="T16" s="90"/>
      <c r="U16" s="90"/>
      <c r="V16" s="90"/>
      <c r="W16" s="91"/>
      <c r="X16" s="91"/>
      <c r="Y16" s="91"/>
      <c r="AA16" s="73"/>
      <c r="AB16" s="72"/>
      <c r="AC16" s="72"/>
      <c r="AE16" s="90" t="s">
        <v>90</v>
      </c>
      <c r="AF16" s="90"/>
      <c r="AG16" s="90"/>
      <c r="AH16" s="90"/>
      <c r="AI16" s="90"/>
      <c r="AJ16" s="90"/>
      <c r="AK16" s="90"/>
      <c r="AL16" s="91"/>
      <c r="AM16" s="91"/>
      <c r="AN16" s="91"/>
      <c r="AP16" s="73"/>
      <c r="AQ16" s="72"/>
      <c r="AR16" s="72"/>
      <c r="AT16" s="90" t="s">
        <v>90</v>
      </c>
      <c r="AU16" s="90"/>
      <c r="AV16" s="90"/>
      <c r="AW16" s="90"/>
      <c r="AX16" s="90"/>
      <c r="AY16" s="90"/>
      <c r="AZ16" s="90"/>
      <c r="BA16" s="91"/>
      <c r="BB16" s="91"/>
      <c r="BC16" s="91"/>
    </row>
    <row r="17" spans="1:55" ht="13.5" thickBot="1">
      <c r="A17" s="57" t="s">
        <v>64</v>
      </c>
      <c r="B17" s="57"/>
      <c r="C17" s="46"/>
      <c r="D17" s="57" t="s">
        <v>63</v>
      </c>
      <c r="E17" s="46"/>
      <c r="F17" s="56" t="s">
        <v>62</v>
      </c>
      <c r="G17" s="56"/>
      <c r="H17" s="56" t="s">
        <v>61</v>
      </c>
      <c r="I17" s="56"/>
      <c r="J17" s="56" t="s">
        <v>60</v>
      </c>
      <c r="L17" s="73"/>
      <c r="M17" s="72"/>
      <c r="N17" s="72"/>
      <c r="P17" s="57" t="s">
        <v>64</v>
      </c>
      <c r="Q17" s="57"/>
      <c r="R17" s="46"/>
      <c r="S17" s="57" t="s">
        <v>63</v>
      </c>
      <c r="T17" s="46"/>
      <c r="U17" s="56" t="s">
        <v>62</v>
      </c>
      <c r="V17" s="56"/>
      <c r="W17" s="56" t="s">
        <v>61</v>
      </c>
      <c r="X17" s="56"/>
      <c r="Y17" s="56" t="s">
        <v>60</v>
      </c>
      <c r="AA17" s="73"/>
      <c r="AB17" s="72"/>
      <c r="AC17" s="72"/>
      <c r="AE17" s="57" t="s">
        <v>64</v>
      </c>
      <c r="AF17" s="57"/>
      <c r="AG17" s="46"/>
      <c r="AH17" s="57" t="s">
        <v>63</v>
      </c>
      <c r="AI17" s="46"/>
      <c r="AJ17" s="56" t="s">
        <v>62</v>
      </c>
      <c r="AK17" s="56"/>
      <c r="AL17" s="56" t="s">
        <v>61</v>
      </c>
      <c r="AM17" s="56"/>
      <c r="AN17" s="56" t="s">
        <v>60</v>
      </c>
      <c r="AP17" s="73"/>
      <c r="AQ17" s="72"/>
      <c r="AR17" s="72"/>
      <c r="AT17" s="57" t="s">
        <v>64</v>
      </c>
      <c r="AU17" s="57"/>
      <c r="AV17" s="46"/>
      <c r="AW17" s="57" t="s">
        <v>63</v>
      </c>
      <c r="AX17" s="46"/>
      <c r="AY17" s="56" t="s">
        <v>62</v>
      </c>
      <c r="AZ17" s="56"/>
      <c r="BA17" s="56" t="s">
        <v>61</v>
      </c>
      <c r="BB17" s="56"/>
      <c r="BC17" s="56" t="s">
        <v>60</v>
      </c>
    </row>
    <row r="18" spans="1:55" ht="13.5" thickBot="1">
      <c r="A18" s="43">
        <f t="shared" ref="A18:D22" si="4">A5</f>
        <v>1</v>
      </c>
      <c r="B18" s="43">
        <f t="shared" si="4"/>
        <v>18200</v>
      </c>
      <c r="C18" s="48">
        <f t="shared" si="4"/>
        <v>18200</v>
      </c>
      <c r="D18" s="69">
        <f t="shared" si="4"/>
        <v>0</v>
      </c>
      <c r="E18" s="44"/>
      <c r="F18" s="50">
        <f>IF('Serviceability Calculator'!R34&lt;B18,'Serviceability Calculator'!R34,C18)</f>
        <v>0</v>
      </c>
      <c r="G18" s="50">
        <f>F18</f>
        <v>0</v>
      </c>
      <c r="H18" s="50">
        <f>F18*D18</f>
        <v>0</v>
      </c>
      <c r="I18" s="51"/>
      <c r="J18" s="50">
        <f>F18-H18</f>
        <v>0</v>
      </c>
      <c r="L18" s="73"/>
      <c r="M18" s="72"/>
      <c r="N18" s="72"/>
      <c r="P18" s="43">
        <f t="shared" ref="P18:S22" si="5">A18</f>
        <v>1</v>
      </c>
      <c r="Q18" s="43">
        <f t="shared" si="5"/>
        <v>18200</v>
      </c>
      <c r="R18" s="43">
        <f t="shared" si="5"/>
        <v>18200</v>
      </c>
      <c r="S18" s="78">
        <f t="shared" si="5"/>
        <v>0</v>
      </c>
      <c r="T18" s="44"/>
      <c r="U18" s="50">
        <f>IF('SMSF Servicing Calculator'!N68&lt;Q18,'SMSF Servicing Calculator'!N68,R18)</f>
        <v>0</v>
      </c>
      <c r="V18" s="50">
        <f>U18</f>
        <v>0</v>
      </c>
      <c r="W18" s="50">
        <f>U18*S18</f>
        <v>0</v>
      </c>
      <c r="X18" s="51"/>
      <c r="Y18" s="50">
        <f>U18-W18</f>
        <v>0</v>
      </c>
      <c r="AA18" s="73"/>
      <c r="AB18" s="72"/>
      <c r="AC18" s="72"/>
      <c r="AE18" s="43">
        <f t="shared" ref="AE18:AH22" si="6">AE5</f>
        <v>1</v>
      </c>
      <c r="AF18" s="43">
        <f t="shared" si="6"/>
        <v>18200</v>
      </c>
      <c r="AG18" s="48">
        <f t="shared" si="6"/>
        <v>18200</v>
      </c>
      <c r="AH18" s="69">
        <f t="shared" si="6"/>
        <v>0</v>
      </c>
      <c r="AI18" s="44"/>
      <c r="AJ18" s="50" t="e">
        <f>IF(#REF!&lt;AF18,#REF!,AG18)</f>
        <v>#REF!</v>
      </c>
      <c r="AK18" s="50" t="e">
        <f>AJ18</f>
        <v>#REF!</v>
      </c>
      <c r="AL18" s="50" t="e">
        <f>AJ18*AH18</f>
        <v>#REF!</v>
      </c>
      <c r="AM18" s="51"/>
      <c r="AN18" s="50" t="e">
        <f>AJ18-AL18</f>
        <v>#REF!</v>
      </c>
      <c r="AP18" s="73"/>
      <c r="AQ18" s="72"/>
      <c r="AR18" s="72"/>
      <c r="AT18" s="43">
        <f t="shared" ref="AT18:AW22" si="7">AT5</f>
        <v>1</v>
      </c>
      <c r="AU18" s="43">
        <f t="shared" si="7"/>
        <v>18200</v>
      </c>
      <c r="AV18" s="43">
        <f t="shared" si="7"/>
        <v>18200</v>
      </c>
      <c r="AW18" s="78">
        <f t="shared" si="7"/>
        <v>0</v>
      </c>
      <c r="AX18" s="44"/>
      <c r="AY18" s="50">
        <v>0</v>
      </c>
      <c r="AZ18" s="50">
        <f>AY18</f>
        <v>0</v>
      </c>
      <c r="BA18" s="50">
        <f>AY18*AW18</f>
        <v>0</v>
      </c>
      <c r="BB18" s="51"/>
      <c r="BC18" s="50">
        <f>AY18-BA18</f>
        <v>0</v>
      </c>
    </row>
    <row r="19" spans="1:55" ht="13.5" thickBot="1">
      <c r="A19" s="43">
        <f t="shared" si="4"/>
        <v>18201</v>
      </c>
      <c r="B19" s="43">
        <f t="shared" si="4"/>
        <v>45000</v>
      </c>
      <c r="C19" s="48">
        <f t="shared" si="4"/>
        <v>26800</v>
      </c>
      <c r="D19" s="69">
        <f t="shared" si="4"/>
        <v>0.16</v>
      </c>
      <c r="E19" s="44"/>
      <c r="F19" s="50">
        <f>IF(G18='Serviceability Calculator'!R34,0,IF(('Serviceability Calculator'!R34-G18)&gt;C19,C19,('Serviceability Calculator'!R34-G18)))</f>
        <v>0</v>
      </c>
      <c r="G19" s="50">
        <f>G18+F19</f>
        <v>0</v>
      </c>
      <c r="H19" s="50">
        <f>F19*D19</f>
        <v>0</v>
      </c>
      <c r="I19" s="51"/>
      <c r="J19" s="50">
        <f>F19-H19</f>
        <v>0</v>
      </c>
      <c r="L19" s="73"/>
      <c r="M19" s="72"/>
      <c r="N19" s="72"/>
      <c r="P19" s="43">
        <f t="shared" si="5"/>
        <v>18201</v>
      </c>
      <c r="Q19" s="43">
        <f t="shared" si="5"/>
        <v>45000</v>
      </c>
      <c r="R19" s="43">
        <f t="shared" si="5"/>
        <v>26800</v>
      </c>
      <c r="S19" s="78">
        <f t="shared" si="5"/>
        <v>0.16</v>
      </c>
      <c r="T19" s="44"/>
      <c r="U19" s="50">
        <f>IF(V18='SMSF Servicing Calculator'!$N$68,0,IF(('SMSF Servicing Calculator'!$N$68-V18)&gt;R19,R19,('SMSF Servicing Calculator'!$N$68-V18)))</f>
        <v>0</v>
      </c>
      <c r="V19" s="50">
        <f>V18+U19</f>
        <v>0</v>
      </c>
      <c r="W19" s="50">
        <f>U19*S19</f>
        <v>0</v>
      </c>
      <c r="X19" s="51"/>
      <c r="Y19" s="50">
        <f>U19-W19</f>
        <v>0</v>
      </c>
      <c r="AA19" s="73"/>
      <c r="AB19" s="72"/>
      <c r="AC19" s="72"/>
      <c r="AE19" s="43">
        <f t="shared" si="6"/>
        <v>18201</v>
      </c>
      <c r="AF19" s="43">
        <f t="shared" si="6"/>
        <v>45000</v>
      </c>
      <c r="AG19" s="48">
        <f t="shared" si="6"/>
        <v>26800</v>
      </c>
      <c r="AH19" s="69">
        <f t="shared" si="6"/>
        <v>0.16</v>
      </c>
      <c r="AI19" s="44"/>
      <c r="AJ19" s="50" t="e">
        <f>IF(AK18=#REF!,0,IF((#REF!-AK18)&gt;AG19,AG19,(#REF!-AK18)))</f>
        <v>#REF!</v>
      </c>
      <c r="AK19" s="50" t="e">
        <f>AK18+AJ19</f>
        <v>#REF!</v>
      </c>
      <c r="AL19" s="50" t="e">
        <f>AJ19*AH19</f>
        <v>#REF!</v>
      </c>
      <c r="AM19" s="51"/>
      <c r="AN19" s="50" t="e">
        <f>AJ19-AL19</f>
        <v>#REF!</v>
      </c>
      <c r="AP19" s="73"/>
      <c r="AQ19" s="72"/>
      <c r="AR19" s="72"/>
      <c r="AT19" s="43">
        <f t="shared" si="7"/>
        <v>18201</v>
      </c>
      <c r="AU19" s="43">
        <f t="shared" si="7"/>
        <v>45000</v>
      </c>
      <c r="AV19" s="43">
        <f t="shared" si="7"/>
        <v>26800</v>
      </c>
      <c r="AW19" s="78">
        <f t="shared" si="7"/>
        <v>0.16</v>
      </c>
      <c r="AX19" s="44"/>
      <c r="AY19" s="50">
        <v>0</v>
      </c>
      <c r="AZ19" s="50">
        <f>AZ18+AY19</f>
        <v>0</v>
      </c>
      <c r="BA19" s="50">
        <f>AY19*AW19</f>
        <v>0</v>
      </c>
      <c r="BB19" s="51"/>
      <c r="BC19" s="50">
        <f>AY19-BA19</f>
        <v>0</v>
      </c>
    </row>
    <row r="20" spans="1:55" ht="13.5" thickBot="1">
      <c r="A20" s="43">
        <f t="shared" si="4"/>
        <v>45001</v>
      </c>
      <c r="B20" s="43">
        <f t="shared" si="4"/>
        <v>135000</v>
      </c>
      <c r="C20" s="48">
        <f t="shared" si="4"/>
        <v>90000</v>
      </c>
      <c r="D20" s="69">
        <f t="shared" si="4"/>
        <v>0.3</v>
      </c>
      <c r="E20" s="44"/>
      <c r="F20" s="50">
        <f>IF(G19='Serviceability Calculator'!R34,0,IF(('Serviceability Calculator'!R34-G19)&gt;C20,C20,('Serviceability Calculator'!R34-G19)))</f>
        <v>0</v>
      </c>
      <c r="G20" s="50">
        <f>G19+F20</f>
        <v>0</v>
      </c>
      <c r="H20" s="50">
        <f>F20*D20</f>
        <v>0</v>
      </c>
      <c r="I20" s="51"/>
      <c r="J20" s="50">
        <f>F20-H20</f>
        <v>0</v>
      </c>
      <c r="L20" s="79"/>
      <c r="M20" s="72"/>
      <c r="N20" s="72"/>
      <c r="P20" s="43">
        <f t="shared" si="5"/>
        <v>45001</v>
      </c>
      <c r="Q20" s="43">
        <f t="shared" si="5"/>
        <v>135000</v>
      </c>
      <c r="R20" s="43">
        <f t="shared" si="5"/>
        <v>90000</v>
      </c>
      <c r="S20" s="78">
        <f t="shared" si="5"/>
        <v>0.3</v>
      </c>
      <c r="T20" s="44"/>
      <c r="U20" s="50">
        <f>IF(V19='SMSF Servicing Calculator'!$N$68,0,IF(('SMSF Servicing Calculator'!$N$68-V19)&gt;R20,R20,('SMSF Servicing Calculator'!$N$68-V19)))</f>
        <v>0</v>
      </c>
      <c r="V20" s="50">
        <f>V19+U20</f>
        <v>0</v>
      </c>
      <c r="W20" s="50">
        <f>U20*S20</f>
        <v>0</v>
      </c>
      <c r="X20" s="51"/>
      <c r="Y20" s="50">
        <f>U20-W20</f>
        <v>0</v>
      </c>
      <c r="AA20" s="79">
        <f>IF(U20&gt;13000,(U20-13000)*0.5%,0)</f>
        <v>0</v>
      </c>
      <c r="AB20" s="72"/>
      <c r="AC20" s="72"/>
      <c r="AE20" s="43">
        <f t="shared" si="6"/>
        <v>45001</v>
      </c>
      <c r="AF20" s="43">
        <f t="shared" si="6"/>
        <v>135000</v>
      </c>
      <c r="AG20" s="48">
        <f t="shared" si="6"/>
        <v>90000</v>
      </c>
      <c r="AH20" s="69">
        <f t="shared" si="6"/>
        <v>0.3</v>
      </c>
      <c r="AI20" s="44"/>
      <c r="AJ20" s="50" t="e">
        <f>IF(AK19=#REF!,0,IF((#REF!-AK19)&gt;AG20,AG20,(#REF!-AK19)))</f>
        <v>#REF!</v>
      </c>
      <c r="AK20" s="50" t="e">
        <f>AK19+AJ20</f>
        <v>#REF!</v>
      </c>
      <c r="AL20" s="50" t="e">
        <f>AJ20*AH20</f>
        <v>#REF!</v>
      </c>
      <c r="AM20" s="51"/>
      <c r="AN20" s="50" t="e">
        <f>AJ20-AL20</f>
        <v>#REF!</v>
      </c>
      <c r="AP20" s="79" t="e">
        <f>IF(AJ20&gt;13000,(AJ20-13000)*0.5%,0)</f>
        <v>#REF!</v>
      </c>
      <c r="AQ20" s="72"/>
      <c r="AR20" s="72"/>
      <c r="AT20" s="43">
        <f t="shared" si="7"/>
        <v>45001</v>
      </c>
      <c r="AU20" s="43">
        <f t="shared" si="7"/>
        <v>135000</v>
      </c>
      <c r="AV20" s="43">
        <f t="shared" si="7"/>
        <v>90000</v>
      </c>
      <c r="AW20" s="78">
        <f t="shared" si="7"/>
        <v>0.3</v>
      </c>
      <c r="AX20" s="44"/>
      <c r="AY20" s="50">
        <v>0</v>
      </c>
      <c r="AZ20" s="50">
        <f>AZ19+AY20</f>
        <v>0</v>
      </c>
      <c r="BA20" s="50">
        <f>AY20*AW20</f>
        <v>0</v>
      </c>
      <c r="BB20" s="51"/>
      <c r="BC20" s="50">
        <f>AY20-BA20</f>
        <v>0</v>
      </c>
    </row>
    <row r="21" spans="1:55" ht="13.5" thickBot="1">
      <c r="A21" s="43">
        <f t="shared" si="4"/>
        <v>135001</v>
      </c>
      <c r="B21" s="43">
        <f t="shared" si="4"/>
        <v>190001</v>
      </c>
      <c r="C21" s="48">
        <f t="shared" si="4"/>
        <v>55001</v>
      </c>
      <c r="D21" s="69">
        <f t="shared" si="4"/>
        <v>0.37</v>
      </c>
      <c r="E21" s="44"/>
      <c r="F21" s="50">
        <f>IF(G20='Serviceability Calculator'!R34,0,IF(('Serviceability Calculator'!R34-G20)&gt;C21,C21,('Serviceability Calculator'!R34-G20)))</f>
        <v>0</v>
      </c>
      <c r="G21" s="50">
        <f>G20+F21</f>
        <v>0</v>
      </c>
      <c r="H21" s="50">
        <f>F21*D21</f>
        <v>0</v>
      </c>
      <c r="I21" s="51"/>
      <c r="J21" s="50">
        <f>F21-H21</f>
        <v>0</v>
      </c>
      <c r="L21" s="73"/>
      <c r="M21" s="79"/>
      <c r="N21" s="80"/>
      <c r="P21" s="43">
        <f t="shared" si="5"/>
        <v>135001</v>
      </c>
      <c r="Q21" s="43">
        <f t="shared" si="5"/>
        <v>190001</v>
      </c>
      <c r="R21" s="43">
        <f t="shared" si="5"/>
        <v>55001</v>
      </c>
      <c r="S21" s="78">
        <f t="shared" si="5"/>
        <v>0.37</v>
      </c>
      <c r="T21" s="44"/>
      <c r="U21" s="50">
        <f>IF(V20='SMSF Servicing Calculator'!$N$68,0,IF(('SMSF Servicing Calculator'!$N$68-V20)&gt;R21,R21,('SMSF Servicing Calculator'!$N$68-V20)))</f>
        <v>0</v>
      </c>
      <c r="V21" s="50">
        <f>V20+U21</f>
        <v>0</v>
      </c>
      <c r="W21" s="50">
        <f>U21*S21</f>
        <v>0</v>
      </c>
      <c r="X21" s="51"/>
      <c r="Y21" s="50">
        <f>U21-W21</f>
        <v>0</v>
      </c>
      <c r="AA21" s="73">
        <f>SUM(AB21:AC21)</f>
        <v>0</v>
      </c>
      <c r="AB21" s="79">
        <f>IF(U21&lt;=20000,U21*0.5%,0)</f>
        <v>0</v>
      </c>
      <c r="AC21" s="80">
        <f>IF(U21&gt;20000,((U21-20000)*1%)+100,0)</f>
        <v>0</v>
      </c>
      <c r="AE21" s="43">
        <f t="shared" si="6"/>
        <v>135001</v>
      </c>
      <c r="AF21" s="43">
        <f t="shared" si="6"/>
        <v>190001</v>
      </c>
      <c r="AG21" s="48">
        <f t="shared" si="6"/>
        <v>55001</v>
      </c>
      <c r="AH21" s="69">
        <f t="shared" si="6"/>
        <v>0.37</v>
      </c>
      <c r="AI21" s="44"/>
      <c r="AJ21" s="50" t="e">
        <f>IF(AK20=#REF!,0,IF((#REF!-AK20)&gt;AG21,AG21,(#REF!-AK20)))</f>
        <v>#REF!</v>
      </c>
      <c r="AK21" s="50" t="e">
        <f>AK20+AJ21</f>
        <v>#REF!</v>
      </c>
      <c r="AL21" s="50" t="e">
        <f>AJ21*AH21</f>
        <v>#REF!</v>
      </c>
      <c r="AM21" s="51"/>
      <c r="AN21" s="50" t="e">
        <f>AJ21-AL21</f>
        <v>#REF!</v>
      </c>
      <c r="AP21" s="73" t="e">
        <f>SUM(AQ21:AR21)</f>
        <v>#REF!</v>
      </c>
      <c r="AQ21" s="79" t="e">
        <f>IF(AJ21&lt;=20000,AJ21*0.5%,0)</f>
        <v>#REF!</v>
      </c>
      <c r="AR21" s="80" t="e">
        <f>IF(AJ21&gt;20000,((AJ21-20000)*1%)+100,0)</f>
        <v>#REF!</v>
      </c>
      <c r="AT21" s="43">
        <f t="shared" si="7"/>
        <v>135001</v>
      </c>
      <c r="AU21" s="43">
        <f t="shared" si="7"/>
        <v>190001</v>
      </c>
      <c r="AV21" s="43">
        <f t="shared" si="7"/>
        <v>55001</v>
      </c>
      <c r="AW21" s="78">
        <f t="shared" si="7"/>
        <v>0.37</v>
      </c>
      <c r="AX21" s="44"/>
      <c r="AY21" s="50">
        <v>0</v>
      </c>
      <c r="AZ21" s="50">
        <f>AZ20+AY21</f>
        <v>0</v>
      </c>
      <c r="BA21" s="50">
        <f>AY21*AW21</f>
        <v>0</v>
      </c>
      <c r="BB21" s="51"/>
      <c r="BC21" s="50">
        <f>AY21-BA21</f>
        <v>0</v>
      </c>
    </row>
    <row r="22" spans="1:55" ht="13.5" thickBot="1">
      <c r="A22" s="43">
        <f t="shared" si="4"/>
        <v>190001</v>
      </c>
      <c r="B22" s="43">
        <f t="shared" si="4"/>
        <v>100000000</v>
      </c>
      <c r="C22" s="48">
        <f t="shared" si="4"/>
        <v>99810000</v>
      </c>
      <c r="D22" s="69">
        <f t="shared" si="4"/>
        <v>0.45</v>
      </c>
      <c r="E22" s="44"/>
      <c r="F22" s="50">
        <f>IF('Serviceability Calculator'!R34-G21&lt;=0,0,('Serviceability Calculator'!R34-G21))</f>
        <v>0</v>
      </c>
      <c r="G22" s="50">
        <f>G21+F22</f>
        <v>0</v>
      </c>
      <c r="H22" s="50">
        <f>F22*D22</f>
        <v>0</v>
      </c>
      <c r="I22" s="51"/>
      <c r="J22" s="50">
        <f>F22-H22</f>
        <v>0</v>
      </c>
      <c r="L22" s="79"/>
      <c r="M22" s="72"/>
      <c r="N22" s="72"/>
      <c r="P22" s="43">
        <f t="shared" si="5"/>
        <v>190001</v>
      </c>
      <c r="Q22" s="43">
        <f t="shared" si="5"/>
        <v>100000000</v>
      </c>
      <c r="R22" s="43">
        <f t="shared" si="5"/>
        <v>99810000</v>
      </c>
      <c r="S22" s="78">
        <f t="shared" si="5"/>
        <v>0.45</v>
      </c>
      <c r="T22" s="44"/>
      <c r="U22" s="50">
        <f>IF(V21='SMSF Servicing Calculator'!$N$68,0,IF(('SMSF Servicing Calculator'!$N$68-V21)&gt;R22,R22,('SMSF Servicing Calculator'!$N$68-V21)))</f>
        <v>0</v>
      </c>
      <c r="V22" s="50">
        <f>V21+U22</f>
        <v>0</v>
      </c>
      <c r="W22" s="50">
        <f>U22*S22</f>
        <v>0</v>
      </c>
      <c r="X22" s="51"/>
      <c r="Y22" s="50">
        <f>U22-W22</f>
        <v>0</v>
      </c>
      <c r="AA22" s="79">
        <f>U22*1%</f>
        <v>0</v>
      </c>
      <c r="AB22" s="72"/>
      <c r="AC22" s="72"/>
      <c r="AE22" s="43">
        <f t="shared" si="6"/>
        <v>190001</v>
      </c>
      <c r="AF22" s="43">
        <f t="shared" si="6"/>
        <v>100000000</v>
      </c>
      <c r="AG22" s="48">
        <f t="shared" si="6"/>
        <v>99810000</v>
      </c>
      <c r="AH22" s="69">
        <f t="shared" si="6"/>
        <v>0.45</v>
      </c>
      <c r="AI22" s="44"/>
      <c r="AJ22" s="50" t="e">
        <f>IF(#REF!-AK21&lt;=0,0,(#REF!-AK21))</f>
        <v>#REF!</v>
      </c>
      <c r="AK22" s="50" t="e">
        <f>AK21+AJ22</f>
        <v>#REF!</v>
      </c>
      <c r="AL22" s="50" t="e">
        <f>AJ22*AH22</f>
        <v>#REF!</v>
      </c>
      <c r="AM22" s="51"/>
      <c r="AN22" s="50" t="e">
        <f>AJ22-AL22</f>
        <v>#REF!</v>
      </c>
      <c r="AP22" s="79" t="e">
        <f>AJ22*1%</f>
        <v>#REF!</v>
      </c>
      <c r="AQ22" s="72"/>
      <c r="AR22" s="72"/>
      <c r="AT22" s="43">
        <f t="shared" si="7"/>
        <v>190001</v>
      </c>
      <c r="AU22" s="43">
        <f t="shared" si="7"/>
        <v>100000000</v>
      </c>
      <c r="AV22" s="43">
        <f t="shared" si="7"/>
        <v>99810000</v>
      </c>
      <c r="AW22" s="78">
        <f t="shared" si="7"/>
        <v>0.45</v>
      </c>
      <c r="AX22" s="44"/>
      <c r="AY22" s="50">
        <v>0</v>
      </c>
      <c r="AZ22" s="50">
        <f>AZ21+AY22</f>
        <v>0</v>
      </c>
      <c r="BA22" s="50">
        <f>AY22*AW22</f>
        <v>0</v>
      </c>
      <c r="BB22" s="51"/>
      <c r="BC22" s="50">
        <f>AY22-BA22</f>
        <v>0</v>
      </c>
    </row>
    <row r="23" spans="1:55" ht="13.5" thickBot="1">
      <c r="A23" s="48"/>
      <c r="B23" s="48"/>
      <c r="C23" s="46"/>
      <c r="D23" s="52" t="s">
        <v>59</v>
      </c>
      <c r="E23" s="44"/>
      <c r="F23" s="50">
        <f>SUM(F18:F22)</f>
        <v>0</v>
      </c>
      <c r="G23" s="50"/>
      <c r="H23" s="50">
        <f>SUM(H18:H22)</f>
        <v>0</v>
      </c>
      <c r="I23" s="51"/>
      <c r="J23" s="50">
        <f>SUM(J18:J22)</f>
        <v>0</v>
      </c>
      <c r="L23" s="77"/>
      <c r="M23" s="72"/>
      <c r="N23" s="72"/>
      <c r="P23" s="48"/>
      <c r="Q23" s="48"/>
      <c r="R23" s="46"/>
      <c r="S23" s="52" t="s">
        <v>59</v>
      </c>
      <c r="T23" s="44"/>
      <c r="U23" s="50">
        <f>SUM(U18:U22)</f>
        <v>0</v>
      </c>
      <c r="V23" s="50"/>
      <c r="W23" s="50">
        <f>SUM(W18:W22)</f>
        <v>0</v>
      </c>
      <c r="X23" s="51"/>
      <c r="Y23" s="50">
        <f>SUM(Y18:Y22)</f>
        <v>0</v>
      </c>
      <c r="AA23" s="77">
        <f>SUM(AA20:AA22)</f>
        <v>0</v>
      </c>
      <c r="AB23" s="72"/>
      <c r="AC23" s="72"/>
      <c r="AE23" s="48"/>
      <c r="AF23" s="48"/>
      <c r="AG23" s="46"/>
      <c r="AH23" s="52" t="s">
        <v>59</v>
      </c>
      <c r="AI23" s="44"/>
      <c r="AJ23" s="50" t="e">
        <f>SUM(AJ18:AJ22)</f>
        <v>#REF!</v>
      </c>
      <c r="AK23" s="50"/>
      <c r="AL23" s="50" t="e">
        <f>SUM(AL18:AL22)</f>
        <v>#REF!</v>
      </c>
      <c r="AM23" s="51"/>
      <c r="AN23" s="50" t="e">
        <f>SUM(AN18:AN22)</f>
        <v>#REF!</v>
      </c>
      <c r="AP23" s="77" t="e">
        <f>SUM(AP20:AP22)</f>
        <v>#REF!</v>
      </c>
      <c r="AQ23" s="72"/>
      <c r="AR23" s="72"/>
      <c r="AT23" s="48"/>
      <c r="AU23" s="48"/>
      <c r="AV23" s="46"/>
      <c r="AW23" s="52" t="s">
        <v>59</v>
      </c>
      <c r="AX23" s="44"/>
      <c r="AY23" s="50">
        <f>SUM(AY18:AY22)</f>
        <v>0</v>
      </c>
      <c r="AZ23" s="50"/>
      <c r="BA23" s="50">
        <f>SUM(BA18:BA22)</f>
        <v>0</v>
      </c>
      <c r="BB23" s="51"/>
      <c r="BC23" s="50">
        <f>SUM(BC18:BC22)</f>
        <v>0</v>
      </c>
    </row>
    <row r="24" spans="1:55">
      <c r="A24" s="65" t="s">
        <v>86</v>
      </c>
      <c r="C24" s="75">
        <v>0</v>
      </c>
      <c r="D24" s="76" t="s">
        <v>84</v>
      </c>
      <c r="E24" s="44"/>
      <c r="F24" s="43"/>
      <c r="G24" s="43"/>
      <c r="H24" s="43"/>
      <c r="I24" s="43"/>
      <c r="J24" s="43"/>
      <c r="L24" s="73"/>
      <c r="M24" s="72"/>
      <c r="N24" s="72"/>
      <c r="P24" s="65" t="s">
        <v>86</v>
      </c>
      <c r="R24" s="75">
        <v>0</v>
      </c>
      <c r="S24" s="76" t="s">
        <v>84</v>
      </c>
      <c r="T24" s="44"/>
      <c r="U24" s="43"/>
      <c r="V24" s="43"/>
      <c r="W24" s="43"/>
      <c r="X24" s="43"/>
      <c r="Y24" s="43"/>
      <c r="AA24" s="73"/>
      <c r="AB24" s="72"/>
      <c r="AC24" s="72"/>
      <c r="AE24" s="65" t="s">
        <v>87</v>
      </c>
      <c r="AG24" s="75">
        <v>0</v>
      </c>
      <c r="AH24" s="76" t="s">
        <v>48</v>
      </c>
      <c r="AI24" s="44"/>
      <c r="AJ24" s="43"/>
      <c r="AK24" s="43"/>
      <c r="AL24" s="43"/>
      <c r="AM24" s="43"/>
      <c r="AN24" s="43"/>
      <c r="AP24" s="73"/>
      <c r="AQ24" s="72"/>
      <c r="AR24" s="72"/>
      <c r="AT24" s="65" t="s">
        <v>86</v>
      </c>
      <c r="AV24" s="75">
        <f>IF($AY$23&lt;=$B$97,$D$97,(IF($AY$23&lt;=$B$98,$D$98,IF($AY$23&lt;=$B$99,(($AY$23-$B$98)*$C$99)+$D$99,IF($AY$23&lt;=$B$100,$D$100,IF($AY$23&lt;=$B$101,(($AY$23-$B$100)*$C$101)+$D$101,IF($AY$23&lt;=$B$102,$D$102,0)))))))/12</f>
        <v>0</v>
      </c>
      <c r="AW24" s="76" t="s">
        <v>84</v>
      </c>
      <c r="AX24" s="44"/>
      <c r="AY24" s="43"/>
      <c r="AZ24" s="43"/>
      <c r="BA24" s="43"/>
      <c r="BB24" s="43"/>
      <c r="BC24" s="43"/>
    </row>
    <row r="25" spans="1:55">
      <c r="A25" s="65" t="s">
        <v>85</v>
      </c>
      <c r="C25" s="75">
        <v>0</v>
      </c>
      <c r="D25" s="76" t="s">
        <v>84</v>
      </c>
      <c r="E25" s="44"/>
      <c r="F25" s="43"/>
      <c r="G25" s="43"/>
      <c r="H25" s="43"/>
      <c r="I25" s="43"/>
      <c r="J25" s="43"/>
      <c r="L25" s="73"/>
      <c r="M25" s="72"/>
      <c r="N25" s="72"/>
      <c r="P25" s="65" t="s">
        <v>85</v>
      </c>
      <c r="R25" s="75">
        <v>0</v>
      </c>
      <c r="S25" s="76" t="s">
        <v>84</v>
      </c>
      <c r="T25" s="44"/>
      <c r="U25" s="43"/>
      <c r="V25" s="43"/>
      <c r="W25" s="43"/>
      <c r="X25" s="43"/>
      <c r="Y25" s="43"/>
      <c r="AA25" s="73"/>
      <c r="AB25" s="72"/>
      <c r="AC25" s="72"/>
      <c r="AE25" s="65"/>
      <c r="AG25" s="75"/>
      <c r="AH25" s="76"/>
      <c r="AI25" s="44"/>
      <c r="AJ25" s="43"/>
      <c r="AK25" s="43"/>
      <c r="AL25" s="43"/>
      <c r="AM25" s="43"/>
      <c r="AN25" s="43"/>
      <c r="AP25" s="73"/>
      <c r="AQ25" s="72"/>
      <c r="AR25" s="72"/>
      <c r="AT25" s="65" t="s">
        <v>85</v>
      </c>
      <c r="AV25" s="75">
        <f>IF($AY$23&lt;=$B$109,$D$109,IF($AY$23&lt;=$B$110,$D$110,IF($AY$23&lt;=$B$111,(($AY$23-$B$110)*$C$111)+$D$111,IF($AY$23&lt;=$B$112,$D$112,0))))/12</f>
        <v>0</v>
      </c>
      <c r="AW25" s="76" t="s">
        <v>84</v>
      </c>
      <c r="AX25" s="44"/>
      <c r="AY25" s="43"/>
      <c r="AZ25" s="43"/>
      <c r="BA25" s="43"/>
      <c r="BB25" s="43"/>
      <c r="BC25" s="43"/>
    </row>
    <row r="26" spans="1:55" ht="13.5" thickBot="1">
      <c r="A26" s="57" t="s">
        <v>83</v>
      </c>
      <c r="C26" s="75">
        <f>F23*(2/100)/12</f>
        <v>0</v>
      </c>
      <c r="D26" s="74">
        <v>0.02</v>
      </c>
      <c r="E26" s="44"/>
      <c r="F26" s="43"/>
      <c r="G26" s="43"/>
      <c r="H26" s="43"/>
      <c r="I26" s="43"/>
      <c r="J26" s="43"/>
      <c r="L26" s="73"/>
      <c r="M26" s="72"/>
      <c r="N26" s="72"/>
      <c r="P26" s="57" t="s">
        <v>83</v>
      </c>
      <c r="R26" s="75">
        <f>U23*(2/100)/12</f>
        <v>0</v>
      </c>
      <c r="S26" s="74">
        <v>0.02</v>
      </c>
      <c r="T26" s="44"/>
      <c r="U26" s="43"/>
      <c r="V26" s="43"/>
      <c r="W26" s="43"/>
      <c r="X26" s="43"/>
      <c r="Y26" s="43"/>
      <c r="AA26" s="73"/>
      <c r="AB26" s="72"/>
      <c r="AC26" s="72"/>
      <c r="AE26" s="57" t="s">
        <v>83</v>
      </c>
      <c r="AG26" s="75">
        <v>0</v>
      </c>
      <c r="AH26" s="76" t="s">
        <v>48</v>
      </c>
      <c r="AI26" s="44"/>
      <c r="AJ26" s="43"/>
      <c r="AK26" s="43"/>
      <c r="AL26" s="43"/>
      <c r="AM26" s="43"/>
      <c r="AN26" s="43"/>
      <c r="AP26" s="73"/>
      <c r="AQ26" s="72"/>
      <c r="AR26" s="72"/>
      <c r="AT26" s="57" t="s">
        <v>83</v>
      </c>
      <c r="AV26" s="75">
        <f>AY23*(2/100)/12</f>
        <v>0</v>
      </c>
      <c r="AW26" s="74">
        <v>0.02</v>
      </c>
      <c r="AX26" s="44"/>
      <c r="AY26" s="43"/>
      <c r="AZ26" s="43"/>
      <c r="BA26" s="43"/>
      <c r="BB26" s="43"/>
      <c r="BC26" s="43"/>
    </row>
    <row r="27" spans="1:55" ht="13.5" thickBot="1">
      <c r="A27" s="48"/>
      <c r="B27" s="47"/>
      <c r="C27" s="71">
        <f>SUM(C24:C26)</f>
        <v>0</v>
      </c>
      <c r="D27" s="45"/>
      <c r="E27" s="44"/>
      <c r="F27" s="43"/>
      <c r="G27" s="43"/>
      <c r="H27" s="42" t="s">
        <v>33</v>
      </c>
      <c r="I27" s="41"/>
      <c r="J27" s="40">
        <f>(J23/12)-C27</f>
        <v>0</v>
      </c>
      <c r="L27" s="73"/>
      <c r="M27" s="72"/>
      <c r="N27" s="72"/>
      <c r="P27" s="48"/>
      <c r="Q27" s="47"/>
      <c r="R27" s="71">
        <f>SUM(R24:R26)</f>
        <v>0</v>
      </c>
      <c r="S27" s="45"/>
      <c r="T27" s="44"/>
      <c r="U27" s="43"/>
      <c r="V27" s="43"/>
      <c r="W27" s="42" t="s">
        <v>33</v>
      </c>
      <c r="X27" s="41"/>
      <c r="Y27" s="40">
        <f>(Y23/12)-R27</f>
        <v>0</v>
      </c>
      <c r="AA27" s="73"/>
      <c r="AB27" s="72"/>
      <c r="AC27" s="72"/>
      <c r="AE27" s="48"/>
      <c r="AF27" s="47"/>
      <c r="AG27" s="71">
        <f>SUM(AG24:AG26)</f>
        <v>0</v>
      </c>
      <c r="AH27" s="45"/>
      <c r="AI27" s="44"/>
      <c r="AJ27" s="43"/>
      <c r="AK27" s="43"/>
      <c r="AL27" s="42" t="s">
        <v>33</v>
      </c>
      <c r="AM27" s="41"/>
      <c r="AN27" s="40" t="e">
        <f>(AN23/12)-AG27</f>
        <v>#REF!</v>
      </c>
      <c r="AP27" s="73"/>
      <c r="AQ27" s="72"/>
      <c r="AR27" s="72"/>
      <c r="AT27" s="48"/>
      <c r="AU27" s="47"/>
      <c r="AV27" s="71">
        <f>SUM(AV24:AV26)</f>
        <v>0</v>
      </c>
      <c r="AW27" s="45"/>
      <c r="AX27" s="44"/>
      <c r="AY27" s="43"/>
      <c r="AZ27" s="43"/>
      <c r="BA27" s="42" t="s">
        <v>33</v>
      </c>
      <c r="BB27" s="41"/>
      <c r="BC27" s="40">
        <f>(BC23/12)-AV27</f>
        <v>0</v>
      </c>
    </row>
    <row r="28" spans="1:55">
      <c r="A28" s="46"/>
      <c r="B28" s="46"/>
      <c r="C28" s="46"/>
      <c r="E28" s="46"/>
      <c r="F28" s="46"/>
      <c r="G28" s="46"/>
      <c r="H28" s="46"/>
      <c r="I28" s="46"/>
      <c r="J28" s="46"/>
      <c r="L28" s="73"/>
      <c r="M28" s="72"/>
      <c r="N28" s="72"/>
      <c r="P28" s="46"/>
      <c r="Q28" s="46"/>
      <c r="R28" s="46"/>
      <c r="T28" s="46"/>
      <c r="U28" s="46"/>
      <c r="V28" s="46"/>
      <c r="W28" s="46"/>
      <c r="X28" s="46"/>
      <c r="Y28" s="46"/>
      <c r="AA28" s="73"/>
      <c r="AB28" s="72"/>
      <c r="AC28" s="72"/>
      <c r="AE28" s="46"/>
      <c r="AF28" s="46"/>
      <c r="AG28" s="46"/>
      <c r="AI28" s="46"/>
      <c r="AJ28" s="46"/>
      <c r="AK28" s="46"/>
      <c r="AL28" s="46"/>
      <c r="AM28" s="46"/>
      <c r="AN28" s="46"/>
      <c r="AP28" s="73"/>
      <c r="AQ28" s="72"/>
      <c r="AR28" s="72"/>
      <c r="AT28" s="46"/>
      <c r="AU28" s="46"/>
      <c r="AV28" s="46"/>
      <c r="AX28" s="46"/>
      <c r="AY28" s="46"/>
      <c r="AZ28" s="46"/>
      <c r="BA28" s="46"/>
      <c r="BB28" s="46"/>
      <c r="BC28" s="46"/>
    </row>
    <row r="29" spans="1:55">
      <c r="A29" s="90" t="s">
        <v>89</v>
      </c>
      <c r="B29" s="90"/>
      <c r="C29" s="90"/>
      <c r="D29" s="90"/>
      <c r="E29" s="90"/>
      <c r="F29" s="90"/>
      <c r="G29" s="90"/>
      <c r="H29" s="91"/>
      <c r="I29" s="91"/>
      <c r="J29" s="91"/>
      <c r="L29" s="73"/>
      <c r="M29" s="72"/>
      <c r="N29" s="72"/>
      <c r="P29" s="90" t="s">
        <v>89</v>
      </c>
      <c r="Q29" s="90"/>
      <c r="R29" s="90"/>
      <c r="S29" s="90"/>
      <c r="T29" s="90"/>
      <c r="U29" s="90"/>
      <c r="V29" s="90"/>
      <c r="W29" s="91"/>
      <c r="X29" s="91"/>
      <c r="Y29" s="91"/>
      <c r="AA29" s="73"/>
      <c r="AB29" s="72"/>
      <c r="AC29" s="72"/>
      <c r="AE29" s="90" t="s">
        <v>89</v>
      </c>
      <c r="AF29" s="90"/>
      <c r="AG29" s="90"/>
      <c r="AH29" s="90"/>
      <c r="AI29" s="90"/>
      <c r="AJ29" s="90"/>
      <c r="AK29" s="90"/>
      <c r="AL29" s="91"/>
      <c r="AM29" s="91"/>
      <c r="AN29" s="91"/>
      <c r="AP29" s="73"/>
      <c r="AQ29" s="72"/>
      <c r="AR29" s="72"/>
      <c r="AT29" s="90" t="s">
        <v>89</v>
      </c>
      <c r="AU29" s="90"/>
      <c r="AV29" s="90"/>
      <c r="AW29" s="90"/>
      <c r="AX29" s="90"/>
      <c r="AY29" s="90"/>
      <c r="AZ29" s="90"/>
      <c r="BA29" s="91"/>
      <c r="BB29" s="91"/>
      <c r="BC29" s="91"/>
    </row>
    <row r="30" spans="1:55" ht="13.5" thickBot="1">
      <c r="A30" s="57" t="s">
        <v>64</v>
      </c>
      <c r="B30" s="57"/>
      <c r="C30" s="46"/>
      <c r="D30" s="57" t="s">
        <v>63</v>
      </c>
      <c r="E30" s="46"/>
      <c r="F30" s="56" t="s">
        <v>62</v>
      </c>
      <c r="G30" s="56"/>
      <c r="H30" s="56" t="s">
        <v>61</v>
      </c>
      <c r="I30" s="56"/>
      <c r="J30" s="56" t="s">
        <v>60</v>
      </c>
      <c r="L30" s="73"/>
      <c r="M30" s="72"/>
      <c r="N30" s="72"/>
      <c r="P30" s="57" t="s">
        <v>64</v>
      </c>
      <c r="Q30" s="57"/>
      <c r="R30" s="46"/>
      <c r="S30" s="57" t="s">
        <v>63</v>
      </c>
      <c r="T30" s="46"/>
      <c r="U30" s="56" t="s">
        <v>62</v>
      </c>
      <c r="V30" s="56"/>
      <c r="W30" s="56" t="s">
        <v>61</v>
      </c>
      <c r="X30" s="56"/>
      <c r="Y30" s="56" t="s">
        <v>60</v>
      </c>
      <c r="AA30" s="73"/>
      <c r="AB30" s="72"/>
      <c r="AC30" s="72"/>
      <c r="AE30" s="57" t="s">
        <v>64</v>
      </c>
      <c r="AF30" s="57"/>
      <c r="AG30" s="46"/>
      <c r="AH30" s="57" t="s">
        <v>63</v>
      </c>
      <c r="AI30" s="46"/>
      <c r="AJ30" s="56" t="s">
        <v>62</v>
      </c>
      <c r="AK30" s="56"/>
      <c r="AL30" s="56" t="s">
        <v>61</v>
      </c>
      <c r="AM30" s="56"/>
      <c r="AN30" s="56" t="s">
        <v>60</v>
      </c>
      <c r="AP30" s="73"/>
      <c r="AQ30" s="72"/>
      <c r="AR30" s="72"/>
      <c r="AT30" s="57" t="s">
        <v>64</v>
      </c>
      <c r="AU30" s="57"/>
      <c r="AV30" s="46"/>
      <c r="AW30" s="57" t="s">
        <v>63</v>
      </c>
      <c r="AX30" s="46"/>
      <c r="AY30" s="56" t="s">
        <v>62</v>
      </c>
      <c r="AZ30" s="56"/>
      <c r="BA30" s="56" t="s">
        <v>61</v>
      </c>
      <c r="BB30" s="56"/>
      <c r="BC30" s="56" t="s">
        <v>60</v>
      </c>
    </row>
    <row r="31" spans="1:55" ht="13.5" thickBot="1">
      <c r="A31" s="43">
        <f t="shared" ref="A31:D35" si="8">A18</f>
        <v>1</v>
      </c>
      <c r="B31" s="43">
        <f t="shared" si="8"/>
        <v>18200</v>
      </c>
      <c r="C31" s="48">
        <f t="shared" si="8"/>
        <v>18200</v>
      </c>
      <c r="D31" s="69">
        <f t="shared" si="8"/>
        <v>0</v>
      </c>
      <c r="E31" s="44"/>
      <c r="F31" s="50">
        <f>IF('Serviceability Calculator'!R35&lt;B31,'Serviceability Calculator'!R35,C31)</f>
        <v>0</v>
      </c>
      <c r="G31" s="50">
        <f>F31</f>
        <v>0</v>
      </c>
      <c r="H31" s="50">
        <f>F31*D31</f>
        <v>0</v>
      </c>
      <c r="I31" s="51"/>
      <c r="J31" s="50">
        <f>F31-H31</f>
        <v>0</v>
      </c>
      <c r="L31" s="73"/>
      <c r="M31" s="72"/>
      <c r="N31" s="72"/>
      <c r="P31" s="43">
        <f t="shared" ref="P31:S35" si="9">A31</f>
        <v>1</v>
      </c>
      <c r="Q31" s="43">
        <f t="shared" si="9"/>
        <v>18200</v>
      </c>
      <c r="R31" s="43">
        <f t="shared" si="9"/>
        <v>18200</v>
      </c>
      <c r="S31" s="78">
        <f t="shared" si="9"/>
        <v>0</v>
      </c>
      <c r="T31" s="44"/>
      <c r="U31" s="50">
        <f>IF('SMSF Servicing Calculator'!N69&lt;Q31,'SMSF Servicing Calculator'!N69,R31)</f>
        <v>0</v>
      </c>
      <c r="V31" s="50">
        <f>U31</f>
        <v>0</v>
      </c>
      <c r="W31" s="50">
        <f>U31*S31</f>
        <v>0</v>
      </c>
      <c r="X31" s="51"/>
      <c r="Y31" s="50">
        <f>U31-W31</f>
        <v>0</v>
      </c>
      <c r="AA31" s="73"/>
      <c r="AB31" s="72"/>
      <c r="AC31" s="72"/>
      <c r="AE31" s="43">
        <f t="shared" ref="AE31:AH35" si="10">AE18</f>
        <v>1</v>
      </c>
      <c r="AF31" s="43">
        <f t="shared" si="10"/>
        <v>18200</v>
      </c>
      <c r="AG31" s="48">
        <f t="shared" si="10"/>
        <v>18200</v>
      </c>
      <c r="AH31" s="69">
        <f t="shared" si="10"/>
        <v>0</v>
      </c>
      <c r="AI31" s="44"/>
      <c r="AJ31" s="50" t="e">
        <f>IF(#REF!&lt;AF31,#REF!,AG31)</f>
        <v>#REF!</v>
      </c>
      <c r="AK31" s="50" t="e">
        <f>AJ31</f>
        <v>#REF!</v>
      </c>
      <c r="AL31" s="50" t="e">
        <f>AJ31*AH31</f>
        <v>#REF!</v>
      </c>
      <c r="AM31" s="51"/>
      <c r="AN31" s="50" t="e">
        <f>AJ31-AL31</f>
        <v>#REF!</v>
      </c>
      <c r="AP31" s="73"/>
      <c r="AQ31" s="72"/>
      <c r="AR31" s="72"/>
      <c r="AT31" s="43">
        <f t="shared" ref="AT31:AW35" si="11">AT5</f>
        <v>1</v>
      </c>
      <c r="AU31" s="43">
        <f t="shared" si="11"/>
        <v>18200</v>
      </c>
      <c r="AV31" s="43">
        <f t="shared" si="11"/>
        <v>18200</v>
      </c>
      <c r="AW31" s="78">
        <f t="shared" si="11"/>
        <v>0</v>
      </c>
      <c r="AX31" s="44"/>
      <c r="AY31" s="50">
        <v>0</v>
      </c>
      <c r="AZ31" s="50">
        <f>AY31</f>
        <v>0</v>
      </c>
      <c r="BA31" s="50">
        <f>AY31*AW31</f>
        <v>0</v>
      </c>
      <c r="BB31" s="51"/>
      <c r="BC31" s="50">
        <f>AY31-BA31</f>
        <v>0</v>
      </c>
    </row>
    <row r="32" spans="1:55" ht="13.5" thickBot="1">
      <c r="A32" s="43">
        <f t="shared" si="8"/>
        <v>18201</v>
      </c>
      <c r="B32" s="43">
        <f t="shared" si="8"/>
        <v>45000</v>
      </c>
      <c r="C32" s="48">
        <f t="shared" si="8"/>
        <v>26800</v>
      </c>
      <c r="D32" s="69">
        <f t="shared" si="8"/>
        <v>0.16</v>
      </c>
      <c r="E32" s="44"/>
      <c r="F32" s="50">
        <f>IF(G31='Serviceability Calculator'!R35,0,IF(('Serviceability Calculator'!R35-G31)&gt;C32,C32,('Serviceability Calculator'!R35-G31)))</f>
        <v>0</v>
      </c>
      <c r="G32" s="50">
        <f>G31+F32</f>
        <v>0</v>
      </c>
      <c r="H32" s="50">
        <f>F32*D32</f>
        <v>0</v>
      </c>
      <c r="I32" s="51"/>
      <c r="J32" s="50">
        <f>F32-H32</f>
        <v>0</v>
      </c>
      <c r="L32" s="73"/>
      <c r="M32" s="72"/>
      <c r="N32" s="72"/>
      <c r="P32" s="43">
        <f t="shared" si="9"/>
        <v>18201</v>
      </c>
      <c r="Q32" s="43">
        <f t="shared" si="9"/>
        <v>45000</v>
      </c>
      <c r="R32" s="43">
        <f t="shared" si="9"/>
        <v>26800</v>
      </c>
      <c r="S32" s="78">
        <f t="shared" si="9"/>
        <v>0.16</v>
      </c>
      <c r="T32" s="44"/>
      <c r="U32" s="50">
        <f>IF(V31='SMSF Servicing Calculator'!$N$69,0,IF(('SMSF Servicing Calculator'!$N$69-V31)&gt;R32,R32,('SMSF Servicing Calculator'!$N$69-V31)))</f>
        <v>0</v>
      </c>
      <c r="V32" s="50">
        <f>V31+U32</f>
        <v>0</v>
      </c>
      <c r="W32" s="50">
        <f>U32*S32</f>
        <v>0</v>
      </c>
      <c r="X32" s="51"/>
      <c r="Y32" s="50">
        <f>U32-W32</f>
        <v>0</v>
      </c>
      <c r="AA32" s="73"/>
      <c r="AB32" s="72"/>
      <c r="AC32" s="72"/>
      <c r="AE32" s="43">
        <f t="shared" si="10"/>
        <v>18201</v>
      </c>
      <c r="AF32" s="43">
        <f t="shared" si="10"/>
        <v>45000</v>
      </c>
      <c r="AG32" s="48">
        <f t="shared" si="10"/>
        <v>26800</v>
      </c>
      <c r="AH32" s="69">
        <f t="shared" si="10"/>
        <v>0.16</v>
      </c>
      <c r="AI32" s="44"/>
      <c r="AJ32" s="50" t="e">
        <f>IF(AK31=#REF!,0,IF((#REF!-AK31)&gt;AG32,AG32,(#REF!-AK31)))</f>
        <v>#REF!</v>
      </c>
      <c r="AK32" s="50" t="e">
        <f>AK31+AJ32</f>
        <v>#REF!</v>
      </c>
      <c r="AL32" s="50" t="e">
        <f>AJ32*AH32</f>
        <v>#REF!</v>
      </c>
      <c r="AM32" s="51"/>
      <c r="AN32" s="50" t="e">
        <f>AJ32-AL32</f>
        <v>#REF!</v>
      </c>
      <c r="AP32" s="73"/>
      <c r="AQ32" s="72"/>
      <c r="AR32" s="72"/>
      <c r="AT32" s="43">
        <f t="shared" si="11"/>
        <v>18201</v>
      </c>
      <c r="AU32" s="43">
        <f t="shared" si="11"/>
        <v>45000</v>
      </c>
      <c r="AV32" s="43">
        <f t="shared" si="11"/>
        <v>26800</v>
      </c>
      <c r="AW32" s="78">
        <f t="shared" si="11"/>
        <v>0.16</v>
      </c>
      <c r="AX32" s="44"/>
      <c r="AY32" s="50">
        <v>0</v>
      </c>
      <c r="AZ32" s="50">
        <f>AZ31+AY32</f>
        <v>0</v>
      </c>
      <c r="BA32" s="50">
        <f>AY32*AW32</f>
        <v>0</v>
      </c>
      <c r="BB32" s="51"/>
      <c r="BC32" s="50">
        <f>AY32-BA32</f>
        <v>0</v>
      </c>
    </row>
    <row r="33" spans="1:55" ht="13.5" thickBot="1">
      <c r="A33" s="43">
        <f t="shared" si="8"/>
        <v>45001</v>
      </c>
      <c r="B33" s="43">
        <f t="shared" si="8"/>
        <v>135000</v>
      </c>
      <c r="C33" s="48">
        <f t="shared" si="8"/>
        <v>90000</v>
      </c>
      <c r="D33" s="69">
        <f t="shared" si="8"/>
        <v>0.3</v>
      </c>
      <c r="E33" s="44"/>
      <c r="F33" s="50">
        <f>IF(G32='Serviceability Calculator'!R35,0,IF(('Serviceability Calculator'!R35-G32)&gt;C33,C33,('Serviceability Calculator'!R35-G32)))</f>
        <v>0</v>
      </c>
      <c r="G33" s="50">
        <f>G32+F33</f>
        <v>0</v>
      </c>
      <c r="H33" s="50">
        <f>F33*D33</f>
        <v>0</v>
      </c>
      <c r="I33" s="51"/>
      <c r="J33" s="50">
        <f>F33-H33</f>
        <v>0</v>
      </c>
      <c r="L33" s="79"/>
      <c r="M33" s="72"/>
      <c r="N33" s="72"/>
      <c r="P33" s="43">
        <f t="shared" si="9"/>
        <v>45001</v>
      </c>
      <c r="Q33" s="43">
        <f t="shared" si="9"/>
        <v>135000</v>
      </c>
      <c r="R33" s="43">
        <f t="shared" si="9"/>
        <v>90000</v>
      </c>
      <c r="S33" s="78">
        <f t="shared" si="9"/>
        <v>0.3</v>
      </c>
      <c r="T33" s="44"/>
      <c r="U33" s="50">
        <f>IF(V32='SMSF Servicing Calculator'!$N$69,0,IF(('SMSF Servicing Calculator'!$N$69-V32)&gt;R33,R33,('SMSF Servicing Calculator'!$N$69-V32)))</f>
        <v>0</v>
      </c>
      <c r="V33" s="50">
        <f>V32+U33</f>
        <v>0</v>
      </c>
      <c r="W33" s="50">
        <f>U33*S33</f>
        <v>0</v>
      </c>
      <c r="X33" s="51"/>
      <c r="Y33" s="50">
        <f>U33-W33</f>
        <v>0</v>
      </c>
      <c r="AA33" s="79">
        <f>IF(U33&gt;13000,(U33-13000)*0.5%,0)</f>
        <v>0</v>
      </c>
      <c r="AB33" s="72"/>
      <c r="AC33" s="72"/>
      <c r="AE33" s="43">
        <f t="shared" si="10"/>
        <v>45001</v>
      </c>
      <c r="AF33" s="43">
        <f t="shared" si="10"/>
        <v>135000</v>
      </c>
      <c r="AG33" s="48">
        <f t="shared" si="10"/>
        <v>90000</v>
      </c>
      <c r="AH33" s="69">
        <f t="shared" si="10"/>
        <v>0.3</v>
      </c>
      <c r="AI33" s="44"/>
      <c r="AJ33" s="50" t="e">
        <f>IF(AK32=#REF!,0,IF((#REF!-AK32)&gt;AG33,AG33,(#REF!-AK32)))</f>
        <v>#REF!</v>
      </c>
      <c r="AK33" s="50" t="e">
        <f>AK32+AJ33</f>
        <v>#REF!</v>
      </c>
      <c r="AL33" s="50" t="e">
        <f>AJ33*AH33</f>
        <v>#REF!</v>
      </c>
      <c r="AM33" s="51"/>
      <c r="AN33" s="50" t="e">
        <f>AJ33-AL33</f>
        <v>#REF!</v>
      </c>
      <c r="AP33" s="79" t="e">
        <f>IF(AJ33&gt;13000,(AJ33-13000)*0.5%,0)</f>
        <v>#REF!</v>
      </c>
      <c r="AQ33" s="72"/>
      <c r="AR33" s="72"/>
      <c r="AT33" s="43">
        <f t="shared" si="11"/>
        <v>45001</v>
      </c>
      <c r="AU33" s="43">
        <f t="shared" si="11"/>
        <v>135000</v>
      </c>
      <c r="AV33" s="43">
        <f t="shared" si="11"/>
        <v>90000</v>
      </c>
      <c r="AW33" s="78">
        <f t="shared" si="11"/>
        <v>0.3</v>
      </c>
      <c r="AX33" s="44"/>
      <c r="AY33" s="50">
        <v>0</v>
      </c>
      <c r="AZ33" s="50">
        <f>AZ32+AY33</f>
        <v>0</v>
      </c>
      <c r="BA33" s="50">
        <f>AY33*AW33</f>
        <v>0</v>
      </c>
      <c r="BB33" s="51"/>
      <c r="BC33" s="50">
        <f>AY33-BA33</f>
        <v>0</v>
      </c>
    </row>
    <row r="34" spans="1:55" ht="13.5" thickBot="1">
      <c r="A34" s="43">
        <f t="shared" si="8"/>
        <v>135001</v>
      </c>
      <c r="B34" s="43">
        <f t="shared" si="8"/>
        <v>190001</v>
      </c>
      <c r="C34" s="48">
        <f t="shared" si="8"/>
        <v>55001</v>
      </c>
      <c r="D34" s="69">
        <f t="shared" si="8"/>
        <v>0.37</v>
      </c>
      <c r="E34" s="44"/>
      <c r="F34" s="50">
        <f>IF(G33='Serviceability Calculator'!R35,0,IF(('Serviceability Calculator'!R35-G33)&gt;C34,C34,('Serviceability Calculator'!R35-G33)))</f>
        <v>0</v>
      </c>
      <c r="G34" s="50">
        <f>G33+F34</f>
        <v>0</v>
      </c>
      <c r="H34" s="50">
        <f>F34*D34</f>
        <v>0</v>
      </c>
      <c r="I34" s="51"/>
      <c r="J34" s="50">
        <f>F34-H34</f>
        <v>0</v>
      </c>
      <c r="L34" s="73"/>
      <c r="M34" s="79"/>
      <c r="N34" s="80"/>
      <c r="P34" s="43">
        <f t="shared" si="9"/>
        <v>135001</v>
      </c>
      <c r="Q34" s="43">
        <f t="shared" si="9"/>
        <v>190001</v>
      </c>
      <c r="R34" s="43">
        <f t="shared" si="9"/>
        <v>55001</v>
      </c>
      <c r="S34" s="78">
        <f t="shared" si="9"/>
        <v>0.37</v>
      </c>
      <c r="T34" s="44"/>
      <c r="U34" s="50">
        <f>IF(V33='SMSF Servicing Calculator'!$N$69,0,IF(('SMSF Servicing Calculator'!$N$69-V33)&gt;R34,R34,('SMSF Servicing Calculator'!$N$69-V33)))</f>
        <v>0</v>
      </c>
      <c r="V34" s="50">
        <f>V33+U34</f>
        <v>0</v>
      </c>
      <c r="W34" s="50">
        <f>U34*S34</f>
        <v>0</v>
      </c>
      <c r="X34" s="51"/>
      <c r="Y34" s="50">
        <f>U34-W34</f>
        <v>0</v>
      </c>
      <c r="AA34" s="73">
        <f>SUM(AB34:AC34)</f>
        <v>0</v>
      </c>
      <c r="AB34" s="79">
        <f>IF(U34&lt;=20000,U34*0.5%,0)</f>
        <v>0</v>
      </c>
      <c r="AC34" s="80">
        <f>IF(U34&gt;20000,((U34-20000)*1%)+100,0)</f>
        <v>0</v>
      </c>
      <c r="AE34" s="43">
        <f t="shared" si="10"/>
        <v>135001</v>
      </c>
      <c r="AF34" s="43">
        <f t="shared" si="10"/>
        <v>190001</v>
      </c>
      <c r="AG34" s="48">
        <f t="shared" si="10"/>
        <v>55001</v>
      </c>
      <c r="AH34" s="69">
        <f t="shared" si="10"/>
        <v>0.37</v>
      </c>
      <c r="AI34" s="44"/>
      <c r="AJ34" s="50" t="e">
        <f>IF(AK33=#REF!,0,IF((#REF!-AK33)&gt;AG34,AG34,(#REF!-AK33)))</f>
        <v>#REF!</v>
      </c>
      <c r="AK34" s="50" t="e">
        <f>AK33+AJ34</f>
        <v>#REF!</v>
      </c>
      <c r="AL34" s="50" t="e">
        <f>AJ34*AH34</f>
        <v>#REF!</v>
      </c>
      <c r="AM34" s="51"/>
      <c r="AN34" s="50" t="e">
        <f>AJ34-AL34</f>
        <v>#REF!</v>
      </c>
      <c r="AP34" s="73" t="e">
        <f>SUM(AQ34:AR34)</f>
        <v>#REF!</v>
      </c>
      <c r="AQ34" s="79" t="e">
        <f>IF(AJ34&lt;=20000,AJ34*0.5%,0)</f>
        <v>#REF!</v>
      </c>
      <c r="AR34" s="80" t="e">
        <f>IF(AJ34&gt;20000,((AJ34-20000)*1%)+100,0)</f>
        <v>#REF!</v>
      </c>
      <c r="AT34" s="43">
        <f t="shared" si="11"/>
        <v>135001</v>
      </c>
      <c r="AU34" s="43">
        <f t="shared" si="11"/>
        <v>190001</v>
      </c>
      <c r="AV34" s="43">
        <f t="shared" si="11"/>
        <v>55001</v>
      </c>
      <c r="AW34" s="78">
        <f t="shared" si="11"/>
        <v>0.37</v>
      </c>
      <c r="AX34" s="44"/>
      <c r="AY34" s="50">
        <v>0</v>
      </c>
      <c r="AZ34" s="50">
        <f>AZ33+AY34</f>
        <v>0</v>
      </c>
      <c r="BA34" s="50">
        <f>AY34*AW34</f>
        <v>0</v>
      </c>
      <c r="BB34" s="51"/>
      <c r="BC34" s="50">
        <f>AY34-BA34</f>
        <v>0</v>
      </c>
    </row>
    <row r="35" spans="1:55" ht="13.5" thickBot="1">
      <c r="A35" s="43">
        <f t="shared" si="8"/>
        <v>190001</v>
      </c>
      <c r="B35" s="43">
        <f t="shared" si="8"/>
        <v>100000000</v>
      </c>
      <c r="C35" s="48">
        <f t="shared" si="8"/>
        <v>99810000</v>
      </c>
      <c r="D35" s="69">
        <f t="shared" si="8"/>
        <v>0.45</v>
      </c>
      <c r="E35" s="44"/>
      <c r="F35" s="50">
        <f>IF('Serviceability Calculator'!R35-G34&lt;=0,0,('Serviceability Calculator'!R35-G34))</f>
        <v>0</v>
      </c>
      <c r="G35" s="50">
        <f>G34+F35</f>
        <v>0</v>
      </c>
      <c r="H35" s="50">
        <f>F35*D35</f>
        <v>0</v>
      </c>
      <c r="I35" s="51"/>
      <c r="J35" s="50">
        <f>F35-H35</f>
        <v>0</v>
      </c>
      <c r="L35" s="79"/>
      <c r="M35" s="72"/>
      <c r="N35" s="72"/>
      <c r="P35" s="43">
        <f t="shared" si="9"/>
        <v>190001</v>
      </c>
      <c r="Q35" s="43">
        <f t="shared" si="9"/>
        <v>100000000</v>
      </c>
      <c r="R35" s="43">
        <f t="shared" si="9"/>
        <v>99810000</v>
      </c>
      <c r="S35" s="78">
        <f t="shared" si="9"/>
        <v>0.45</v>
      </c>
      <c r="T35" s="44"/>
      <c r="U35" s="50">
        <f>IF(V34='SMSF Servicing Calculator'!$N$69,0,IF(('SMSF Servicing Calculator'!$N$69-V34)&gt;R35,R35,('SMSF Servicing Calculator'!$N$69-V34)))</f>
        <v>0</v>
      </c>
      <c r="V35" s="50">
        <f>V34+U35</f>
        <v>0</v>
      </c>
      <c r="W35" s="50">
        <f>U35*S35</f>
        <v>0</v>
      </c>
      <c r="X35" s="51"/>
      <c r="Y35" s="50">
        <f>U35-W35</f>
        <v>0</v>
      </c>
      <c r="AA35" s="79">
        <f>U35*1%</f>
        <v>0</v>
      </c>
      <c r="AB35" s="72"/>
      <c r="AC35" s="72"/>
      <c r="AE35" s="43">
        <f t="shared" si="10"/>
        <v>190001</v>
      </c>
      <c r="AF35" s="43">
        <f t="shared" si="10"/>
        <v>100000000</v>
      </c>
      <c r="AG35" s="48">
        <f t="shared" si="10"/>
        <v>99810000</v>
      </c>
      <c r="AH35" s="69">
        <f t="shared" si="10"/>
        <v>0.45</v>
      </c>
      <c r="AI35" s="44"/>
      <c r="AJ35" s="50" t="e">
        <f>IF(#REF!-AK34&lt;=0,0,(#REF!-AK34))</f>
        <v>#REF!</v>
      </c>
      <c r="AK35" s="50" t="e">
        <f>AK34+AJ35</f>
        <v>#REF!</v>
      </c>
      <c r="AL35" s="50" t="e">
        <f>AJ35*AH35</f>
        <v>#REF!</v>
      </c>
      <c r="AM35" s="51"/>
      <c r="AN35" s="50" t="e">
        <f>AJ35-AL35</f>
        <v>#REF!</v>
      </c>
      <c r="AP35" s="79" t="e">
        <f>AJ35*1%</f>
        <v>#REF!</v>
      </c>
      <c r="AQ35" s="72"/>
      <c r="AR35" s="72"/>
      <c r="AT35" s="43">
        <f t="shared" si="11"/>
        <v>190001</v>
      </c>
      <c r="AU35" s="43">
        <f t="shared" si="11"/>
        <v>100000000</v>
      </c>
      <c r="AV35" s="43">
        <f t="shared" si="11"/>
        <v>99810000</v>
      </c>
      <c r="AW35" s="78">
        <f t="shared" si="11"/>
        <v>0.45</v>
      </c>
      <c r="AX35" s="44"/>
      <c r="AY35" s="50">
        <v>0</v>
      </c>
      <c r="AZ35" s="50">
        <f>AZ34+AY35</f>
        <v>0</v>
      </c>
      <c r="BA35" s="50">
        <f>AY35*AW35</f>
        <v>0</v>
      </c>
      <c r="BB35" s="51"/>
      <c r="BC35" s="50">
        <f>AY35-BA35</f>
        <v>0</v>
      </c>
    </row>
    <row r="36" spans="1:55" ht="13.5" thickBot="1">
      <c r="A36" s="48"/>
      <c r="B36" s="48"/>
      <c r="C36" s="46"/>
      <c r="D36" s="52" t="s">
        <v>59</v>
      </c>
      <c r="E36" s="44"/>
      <c r="F36" s="50">
        <f>SUM(F31:F35)</f>
        <v>0</v>
      </c>
      <c r="G36" s="50"/>
      <c r="H36" s="50">
        <f>SUM(H31:H35)</f>
        <v>0</v>
      </c>
      <c r="I36" s="51"/>
      <c r="J36" s="50">
        <f>SUM(J31:J35)</f>
        <v>0</v>
      </c>
      <c r="L36" s="77"/>
      <c r="M36" s="72"/>
      <c r="N36" s="72"/>
      <c r="P36" s="48"/>
      <c r="Q36" s="48"/>
      <c r="R36" s="46"/>
      <c r="S36" s="52" t="s">
        <v>59</v>
      </c>
      <c r="T36" s="44"/>
      <c r="U36" s="50">
        <f>SUM(U31:U35)</f>
        <v>0</v>
      </c>
      <c r="V36" s="50"/>
      <c r="W36" s="50">
        <f>SUM(W31:W35)</f>
        <v>0</v>
      </c>
      <c r="X36" s="51"/>
      <c r="Y36" s="50">
        <f>SUM(Y31:Y35)</f>
        <v>0</v>
      </c>
      <c r="AA36" s="77">
        <f>SUM(AA33:AA35)</f>
        <v>0</v>
      </c>
      <c r="AB36" s="72"/>
      <c r="AC36" s="72"/>
      <c r="AE36" s="48"/>
      <c r="AF36" s="48"/>
      <c r="AG36" s="46"/>
      <c r="AH36" s="52" t="s">
        <v>59</v>
      </c>
      <c r="AI36" s="44"/>
      <c r="AJ36" s="50" t="e">
        <f>SUM(AJ31:AJ35)</f>
        <v>#REF!</v>
      </c>
      <c r="AK36" s="50"/>
      <c r="AL36" s="50" t="e">
        <f>SUM(AL31:AL35)</f>
        <v>#REF!</v>
      </c>
      <c r="AM36" s="51"/>
      <c r="AN36" s="50" t="e">
        <f>SUM(AN31:AN35)</f>
        <v>#REF!</v>
      </c>
      <c r="AP36" s="77" t="e">
        <f>SUM(AP33:AP35)</f>
        <v>#REF!</v>
      </c>
      <c r="AQ36" s="72"/>
      <c r="AR36" s="72"/>
      <c r="AT36" s="48"/>
      <c r="AU36" s="48"/>
      <c r="AV36" s="46"/>
      <c r="AW36" s="52" t="s">
        <v>59</v>
      </c>
      <c r="AX36" s="44"/>
      <c r="AY36" s="50">
        <f>SUM(AY31:AY35)</f>
        <v>0</v>
      </c>
      <c r="AZ36" s="50"/>
      <c r="BA36" s="50">
        <f>SUM(BA31:BA35)</f>
        <v>0</v>
      </c>
      <c r="BB36" s="51"/>
      <c r="BC36" s="50">
        <f>SUM(BC31:BC35)</f>
        <v>0</v>
      </c>
    </row>
    <row r="37" spans="1:55">
      <c r="A37" s="65" t="s">
        <v>86</v>
      </c>
      <c r="C37" s="75">
        <v>0</v>
      </c>
      <c r="D37" s="76" t="s">
        <v>84</v>
      </c>
      <c r="E37" s="44"/>
      <c r="F37" s="43"/>
      <c r="G37" s="43"/>
      <c r="H37" s="43"/>
      <c r="I37" s="43"/>
      <c r="J37" s="43"/>
      <c r="L37" s="73"/>
      <c r="M37" s="72"/>
      <c r="N37" s="72"/>
      <c r="P37" s="65" t="s">
        <v>86</v>
      </c>
      <c r="R37" s="75">
        <v>0</v>
      </c>
      <c r="S37" s="76" t="s">
        <v>84</v>
      </c>
      <c r="T37" s="44"/>
      <c r="U37" s="43"/>
      <c r="V37" s="43"/>
      <c r="W37" s="43"/>
      <c r="X37" s="43"/>
      <c r="Y37" s="43"/>
      <c r="AA37" s="73"/>
      <c r="AB37" s="72"/>
      <c r="AC37" s="72"/>
      <c r="AE37" s="65" t="s">
        <v>87</v>
      </c>
      <c r="AG37" s="75">
        <v>0</v>
      </c>
      <c r="AH37" s="76" t="s">
        <v>48</v>
      </c>
      <c r="AI37" s="44"/>
      <c r="AJ37" s="43"/>
      <c r="AK37" s="43"/>
      <c r="AL37" s="43"/>
      <c r="AM37" s="43"/>
      <c r="AN37" s="43"/>
      <c r="AP37" s="73"/>
      <c r="AQ37" s="72"/>
      <c r="AR37" s="72"/>
      <c r="AT37" s="65" t="s">
        <v>86</v>
      </c>
      <c r="AV37" s="75">
        <f>IF($AY$36&lt;=$B$97,$D$97,(IF($AY$36&lt;=$B$98,$D$98,IF($AY$36&lt;=$B$99,(($AY$36-$B$98)*$C$99)+$D$99,IF($AY$36&lt;=$B$100,$D$100,IF($AY$36&lt;=$B$101,(($AY$36-$B$100)*$C$101)+$D$101,IF($AY$36&lt;=$B$102,$D$102,0)))))))/12</f>
        <v>0</v>
      </c>
      <c r="AW37" s="76" t="s">
        <v>84</v>
      </c>
      <c r="AX37" s="44"/>
      <c r="AY37" s="43"/>
      <c r="AZ37" s="43"/>
      <c r="BA37" s="43"/>
      <c r="BB37" s="43"/>
      <c r="BC37" s="43"/>
    </row>
    <row r="38" spans="1:55">
      <c r="A38" s="65" t="s">
        <v>85</v>
      </c>
      <c r="C38" s="75">
        <v>0</v>
      </c>
      <c r="D38" s="76" t="s">
        <v>84</v>
      </c>
      <c r="E38" s="44"/>
      <c r="F38" s="43"/>
      <c r="G38" s="43"/>
      <c r="H38" s="43"/>
      <c r="I38" s="43"/>
      <c r="J38" s="43"/>
      <c r="L38" s="73"/>
      <c r="M38" s="72"/>
      <c r="N38" s="72"/>
      <c r="P38" s="65" t="s">
        <v>85</v>
      </c>
      <c r="R38" s="75">
        <v>0</v>
      </c>
      <c r="S38" s="76" t="s">
        <v>84</v>
      </c>
      <c r="T38" s="44"/>
      <c r="U38" s="43"/>
      <c r="V38" s="43"/>
      <c r="W38" s="43"/>
      <c r="X38" s="43"/>
      <c r="Y38" s="43"/>
      <c r="AA38" s="73"/>
      <c r="AB38" s="72"/>
      <c r="AC38" s="72"/>
      <c r="AE38" s="65"/>
      <c r="AG38" s="75"/>
      <c r="AH38" s="76"/>
      <c r="AI38" s="44"/>
      <c r="AJ38" s="43"/>
      <c r="AK38" s="43"/>
      <c r="AL38" s="43"/>
      <c r="AM38" s="43"/>
      <c r="AN38" s="43"/>
      <c r="AP38" s="73"/>
      <c r="AQ38" s="72"/>
      <c r="AR38" s="72"/>
      <c r="AT38" s="65" t="s">
        <v>85</v>
      </c>
      <c r="AV38" s="75">
        <f>IF($AY$36&lt;=$B$109,$D$109,IF($AY$36&lt;=$B$110,$D$110,IF($AY$36&lt;=$B$111,(($AY$36-$B$110)*$C$111)+$D$111,IF($AY$36&lt;=$B$112,$D$112,0))))/12</f>
        <v>0</v>
      </c>
      <c r="AW38" s="76" t="s">
        <v>84</v>
      </c>
      <c r="AX38" s="44"/>
      <c r="AY38" s="43"/>
      <c r="AZ38" s="43"/>
      <c r="BA38" s="43"/>
      <c r="BB38" s="43"/>
      <c r="BC38" s="43"/>
    </row>
    <row r="39" spans="1:55" ht="13.5" thickBot="1">
      <c r="A39" s="57" t="s">
        <v>83</v>
      </c>
      <c r="C39" s="75">
        <f>F36*(2/100)/12</f>
        <v>0</v>
      </c>
      <c r="D39" s="74">
        <v>0.02</v>
      </c>
      <c r="E39" s="44"/>
      <c r="F39" s="43"/>
      <c r="G39" s="43"/>
      <c r="H39" s="43"/>
      <c r="I39" s="43"/>
      <c r="J39" s="43"/>
      <c r="L39" s="73"/>
      <c r="M39" s="72"/>
      <c r="N39" s="72"/>
      <c r="P39" s="57" t="s">
        <v>83</v>
      </c>
      <c r="R39" s="75">
        <f>U36*(2/100)/12</f>
        <v>0</v>
      </c>
      <c r="S39" s="74">
        <v>0.02</v>
      </c>
      <c r="T39" s="44"/>
      <c r="U39" s="43"/>
      <c r="V39" s="43"/>
      <c r="W39" s="43"/>
      <c r="X39" s="43"/>
      <c r="Y39" s="43"/>
      <c r="AA39" s="73"/>
      <c r="AB39" s="72"/>
      <c r="AC39" s="72"/>
      <c r="AE39" s="57" t="s">
        <v>83</v>
      </c>
      <c r="AG39" s="75">
        <v>0</v>
      </c>
      <c r="AH39" s="76" t="s">
        <v>48</v>
      </c>
      <c r="AI39" s="44"/>
      <c r="AJ39" s="43"/>
      <c r="AK39" s="43"/>
      <c r="AL39" s="43"/>
      <c r="AM39" s="43"/>
      <c r="AN39" s="43"/>
      <c r="AP39" s="73"/>
      <c r="AQ39" s="72"/>
      <c r="AR39" s="72"/>
      <c r="AT39" s="57" t="s">
        <v>83</v>
      </c>
      <c r="AV39" s="75">
        <f>AY36*(2/100)/12</f>
        <v>0</v>
      </c>
      <c r="AW39" s="74">
        <v>0.02</v>
      </c>
      <c r="AX39" s="44"/>
      <c r="AY39" s="43"/>
      <c r="AZ39" s="43"/>
      <c r="BA39" s="43"/>
      <c r="BB39" s="43"/>
      <c r="BC39" s="43"/>
    </row>
    <row r="40" spans="1:55" ht="13.5" thickBot="1">
      <c r="A40" s="48"/>
      <c r="B40" s="47"/>
      <c r="C40" s="71">
        <f>SUM(C37:C39)</f>
        <v>0</v>
      </c>
      <c r="D40" s="45"/>
      <c r="E40" s="44"/>
      <c r="F40" s="43"/>
      <c r="G40" s="43"/>
      <c r="H40" s="42" t="s">
        <v>33</v>
      </c>
      <c r="I40" s="41"/>
      <c r="J40" s="40">
        <f>(J36/12)-C40</f>
        <v>0</v>
      </c>
      <c r="L40" s="73"/>
      <c r="M40" s="72"/>
      <c r="N40" s="72"/>
      <c r="P40" s="48"/>
      <c r="Q40" s="47"/>
      <c r="R40" s="71">
        <f>SUM(R37:R39)</f>
        <v>0</v>
      </c>
      <c r="S40" s="45"/>
      <c r="T40" s="44"/>
      <c r="U40" s="43"/>
      <c r="V40" s="43"/>
      <c r="W40" s="42" t="s">
        <v>33</v>
      </c>
      <c r="X40" s="41"/>
      <c r="Y40" s="40">
        <f>(Y36/12)-R40</f>
        <v>0</v>
      </c>
      <c r="AA40" s="73"/>
      <c r="AB40" s="72"/>
      <c r="AC40" s="72"/>
      <c r="AE40" s="48"/>
      <c r="AF40" s="47"/>
      <c r="AG40" s="71">
        <f>SUM(AG37:AG39)</f>
        <v>0</v>
      </c>
      <c r="AH40" s="45"/>
      <c r="AI40" s="44"/>
      <c r="AJ40" s="43"/>
      <c r="AK40" s="43"/>
      <c r="AL40" s="42" t="s">
        <v>33</v>
      </c>
      <c r="AM40" s="41"/>
      <c r="AN40" s="40" t="e">
        <f>(AN36/12)-AG40</f>
        <v>#REF!</v>
      </c>
      <c r="AP40" s="73"/>
      <c r="AQ40" s="72"/>
      <c r="AR40" s="72"/>
      <c r="AT40" s="48"/>
      <c r="AU40" s="47"/>
      <c r="AV40" s="71">
        <f>SUM(AV37:AV39)</f>
        <v>0</v>
      </c>
      <c r="AW40" s="45"/>
      <c r="AX40" s="44"/>
      <c r="AY40" s="43"/>
      <c r="AZ40" s="43"/>
      <c r="BA40" s="42" t="s">
        <v>33</v>
      </c>
      <c r="BB40" s="41"/>
      <c r="BC40" s="40">
        <f>(BC36/12)-AV40</f>
        <v>0</v>
      </c>
    </row>
    <row r="41" spans="1:55">
      <c r="A41" s="46"/>
      <c r="B41" s="46"/>
      <c r="C41" s="46"/>
      <c r="E41" s="46"/>
      <c r="F41" s="46"/>
      <c r="G41" s="46"/>
      <c r="H41" s="46"/>
      <c r="I41" s="46"/>
      <c r="J41" s="46"/>
      <c r="L41" s="73"/>
      <c r="M41" s="72"/>
      <c r="N41" s="72"/>
      <c r="P41" s="46"/>
      <c r="Q41" s="46"/>
      <c r="R41" s="46"/>
      <c r="T41" s="46"/>
      <c r="U41" s="46"/>
      <c r="V41" s="46"/>
      <c r="W41" s="46"/>
      <c r="X41" s="46"/>
      <c r="Y41" s="46"/>
      <c r="AA41" s="73"/>
      <c r="AB41" s="72"/>
      <c r="AC41" s="72"/>
      <c r="AE41" s="46"/>
      <c r="AF41" s="46"/>
      <c r="AG41" s="46"/>
      <c r="AI41" s="46"/>
      <c r="AJ41" s="46"/>
      <c r="AK41" s="46"/>
      <c r="AL41" s="46"/>
      <c r="AM41" s="46"/>
      <c r="AN41" s="46"/>
      <c r="AP41" s="73"/>
      <c r="AQ41" s="72"/>
      <c r="AR41" s="72"/>
      <c r="AT41" s="46"/>
      <c r="AU41" s="46"/>
      <c r="AV41" s="46"/>
      <c r="AX41" s="46"/>
      <c r="AY41" s="46"/>
      <c r="AZ41" s="46"/>
      <c r="BA41" s="46"/>
      <c r="BB41" s="46"/>
      <c r="BC41" s="46"/>
    </row>
    <row r="42" spans="1:55">
      <c r="A42" s="90" t="s">
        <v>88</v>
      </c>
      <c r="B42" s="90"/>
      <c r="C42" s="90"/>
      <c r="D42" s="90"/>
      <c r="E42" s="90"/>
      <c r="F42" s="90"/>
      <c r="G42" s="90"/>
      <c r="H42" s="91"/>
      <c r="I42" s="91"/>
      <c r="J42" s="91"/>
      <c r="L42" s="73"/>
      <c r="M42" s="72"/>
      <c r="N42" s="72"/>
      <c r="P42" s="90" t="s">
        <v>88</v>
      </c>
      <c r="Q42" s="90"/>
      <c r="R42" s="90"/>
      <c r="S42" s="90"/>
      <c r="T42" s="90"/>
      <c r="U42" s="90"/>
      <c r="V42" s="90"/>
      <c r="W42" s="91"/>
      <c r="X42" s="91"/>
      <c r="Y42" s="91"/>
      <c r="AA42" s="73"/>
      <c r="AB42" s="72"/>
      <c r="AC42" s="72"/>
      <c r="AE42" s="90" t="s">
        <v>88</v>
      </c>
      <c r="AF42" s="90"/>
      <c r="AG42" s="90"/>
      <c r="AH42" s="90"/>
      <c r="AI42" s="90"/>
      <c r="AJ42" s="90"/>
      <c r="AK42" s="90"/>
      <c r="AL42" s="91"/>
      <c r="AM42" s="91"/>
      <c r="AN42" s="91"/>
      <c r="AP42" s="73"/>
      <c r="AQ42" s="72"/>
      <c r="AR42" s="72"/>
      <c r="AT42" s="90" t="s">
        <v>88</v>
      </c>
      <c r="AU42" s="90"/>
      <c r="AV42" s="90"/>
      <c r="AW42" s="90"/>
      <c r="AX42" s="90"/>
      <c r="AY42" s="90"/>
      <c r="AZ42" s="90"/>
      <c r="BA42" s="91"/>
      <c r="BB42" s="91"/>
      <c r="BC42" s="91"/>
    </row>
    <row r="43" spans="1:55" ht="13.5" thickBot="1">
      <c r="A43" s="57" t="s">
        <v>64</v>
      </c>
      <c r="B43" s="57"/>
      <c r="C43" s="46"/>
      <c r="D43" s="57" t="s">
        <v>63</v>
      </c>
      <c r="E43" s="46"/>
      <c r="F43" s="56" t="s">
        <v>62</v>
      </c>
      <c r="G43" s="56"/>
      <c r="H43" s="56" t="s">
        <v>61</v>
      </c>
      <c r="I43" s="56"/>
      <c r="J43" s="56" t="s">
        <v>60</v>
      </c>
      <c r="L43" s="73"/>
      <c r="M43" s="72"/>
      <c r="N43" s="72"/>
      <c r="P43" s="57" t="s">
        <v>64</v>
      </c>
      <c r="Q43" s="57"/>
      <c r="R43" s="46"/>
      <c r="S43" s="57" t="s">
        <v>63</v>
      </c>
      <c r="T43" s="46"/>
      <c r="U43" s="56" t="s">
        <v>62</v>
      </c>
      <c r="V43" s="56"/>
      <c r="W43" s="56" t="s">
        <v>61</v>
      </c>
      <c r="X43" s="56"/>
      <c r="Y43" s="56" t="s">
        <v>60</v>
      </c>
      <c r="AA43" s="73"/>
      <c r="AB43" s="72"/>
      <c r="AC43" s="72"/>
      <c r="AE43" s="57" t="s">
        <v>64</v>
      </c>
      <c r="AF43" s="57"/>
      <c r="AG43" s="46"/>
      <c r="AH43" s="57" t="s">
        <v>63</v>
      </c>
      <c r="AI43" s="46"/>
      <c r="AJ43" s="56" t="s">
        <v>62</v>
      </c>
      <c r="AK43" s="56"/>
      <c r="AL43" s="56" t="s">
        <v>61</v>
      </c>
      <c r="AM43" s="56"/>
      <c r="AN43" s="56" t="s">
        <v>60</v>
      </c>
      <c r="AP43" s="73"/>
      <c r="AQ43" s="72"/>
      <c r="AR43" s="72"/>
      <c r="AT43" s="57" t="s">
        <v>64</v>
      </c>
      <c r="AU43" s="57"/>
      <c r="AV43" s="46"/>
      <c r="AW43" s="57" t="s">
        <v>63</v>
      </c>
      <c r="AX43" s="46"/>
      <c r="AY43" s="56" t="s">
        <v>62</v>
      </c>
      <c r="AZ43" s="56"/>
      <c r="BA43" s="56" t="s">
        <v>61</v>
      </c>
      <c r="BB43" s="56"/>
      <c r="BC43" s="56" t="s">
        <v>60</v>
      </c>
    </row>
    <row r="44" spans="1:55" ht="13.5" thickBot="1">
      <c r="A44" s="43">
        <f t="shared" ref="A44:D48" si="12">A31</f>
        <v>1</v>
      </c>
      <c r="B44" s="43">
        <f t="shared" si="12"/>
        <v>18200</v>
      </c>
      <c r="C44" s="48">
        <f t="shared" si="12"/>
        <v>18200</v>
      </c>
      <c r="D44" s="69">
        <f t="shared" si="12"/>
        <v>0</v>
      </c>
      <c r="E44" s="44"/>
      <c r="F44" s="50">
        <f>IF('Serviceability Calculator'!R36&lt;B44,'Serviceability Calculator'!R36,C44)</f>
        <v>0</v>
      </c>
      <c r="G44" s="50">
        <f>F44</f>
        <v>0</v>
      </c>
      <c r="H44" s="50">
        <f>F44*D44</f>
        <v>0</v>
      </c>
      <c r="I44" s="51"/>
      <c r="J44" s="50">
        <f>F44-H44</f>
        <v>0</v>
      </c>
      <c r="L44" s="73"/>
      <c r="M44" s="72"/>
      <c r="N44" s="72"/>
      <c r="P44" s="43">
        <f t="shared" ref="P44:S48" si="13">A44</f>
        <v>1</v>
      </c>
      <c r="Q44" s="43">
        <f t="shared" si="13"/>
        <v>18200</v>
      </c>
      <c r="R44" s="43">
        <f t="shared" si="13"/>
        <v>18200</v>
      </c>
      <c r="S44" s="78">
        <f t="shared" si="13"/>
        <v>0</v>
      </c>
      <c r="T44" s="44"/>
      <c r="U44" s="50">
        <f>IF('SMSF Servicing Calculator'!$N$70&lt;Q44,'SMSF Servicing Calculator'!N70,R44)</f>
        <v>0</v>
      </c>
      <c r="V44" s="50">
        <f>U44</f>
        <v>0</v>
      </c>
      <c r="W44" s="50">
        <f>U44*S44</f>
        <v>0</v>
      </c>
      <c r="X44" s="51"/>
      <c r="Y44" s="50">
        <f>U44-W44</f>
        <v>0</v>
      </c>
      <c r="AA44" s="73"/>
      <c r="AB44" s="72"/>
      <c r="AC44" s="72"/>
      <c r="AE44" s="43">
        <f t="shared" ref="AE44:AH48" si="14">AE31</f>
        <v>1</v>
      </c>
      <c r="AF44" s="43">
        <f t="shared" si="14"/>
        <v>18200</v>
      </c>
      <c r="AG44" s="48">
        <f t="shared" si="14"/>
        <v>18200</v>
      </c>
      <c r="AH44" s="69">
        <f t="shared" si="14"/>
        <v>0</v>
      </c>
      <c r="AI44" s="44"/>
      <c r="AJ44" s="50" t="e">
        <f>IF(#REF!&lt;AF44,#REF!,AG44)</f>
        <v>#REF!</v>
      </c>
      <c r="AK44" s="50" t="e">
        <f>AJ44</f>
        <v>#REF!</v>
      </c>
      <c r="AL44" s="50" t="e">
        <f>AJ44*AH44</f>
        <v>#REF!</v>
      </c>
      <c r="AM44" s="51"/>
      <c r="AN44" s="50" t="e">
        <f>AJ44-AL44</f>
        <v>#REF!</v>
      </c>
      <c r="AP44" s="73"/>
      <c r="AQ44" s="72"/>
      <c r="AR44" s="72"/>
      <c r="AT44" s="43">
        <f t="shared" ref="AT44:AW48" si="15">AT5</f>
        <v>1</v>
      </c>
      <c r="AU44" s="43">
        <f t="shared" si="15"/>
        <v>18200</v>
      </c>
      <c r="AV44" s="43">
        <f t="shared" si="15"/>
        <v>18200</v>
      </c>
      <c r="AW44" s="78">
        <f t="shared" si="15"/>
        <v>0</v>
      </c>
      <c r="AX44" s="44"/>
      <c r="AY44" s="50">
        <v>0</v>
      </c>
      <c r="AZ44" s="50">
        <f>AY44</f>
        <v>0</v>
      </c>
      <c r="BA44" s="50">
        <f>AY44*AW44</f>
        <v>0</v>
      </c>
      <c r="BB44" s="51"/>
      <c r="BC44" s="50">
        <f>AY44-BA44</f>
        <v>0</v>
      </c>
    </row>
    <row r="45" spans="1:55" ht="13.5" thickBot="1">
      <c r="A45" s="43">
        <f t="shared" si="12"/>
        <v>18201</v>
      </c>
      <c r="B45" s="43">
        <f t="shared" si="12"/>
        <v>45000</v>
      </c>
      <c r="C45" s="48">
        <f t="shared" si="12"/>
        <v>26800</v>
      </c>
      <c r="D45" s="69">
        <f t="shared" si="12"/>
        <v>0.16</v>
      </c>
      <c r="E45" s="44"/>
      <c r="F45" s="50">
        <f>IF(G44='Serviceability Calculator'!R36,0,IF(('Serviceability Calculator'!R36-G44)&gt;C45,C45,('Serviceability Calculator'!R36-G44)))</f>
        <v>0</v>
      </c>
      <c r="G45" s="50">
        <f>G44+F45</f>
        <v>0</v>
      </c>
      <c r="H45" s="50">
        <f>F45*D45</f>
        <v>0</v>
      </c>
      <c r="I45" s="51"/>
      <c r="J45" s="50">
        <f>F45-H45</f>
        <v>0</v>
      </c>
      <c r="L45" s="73"/>
      <c r="M45" s="72"/>
      <c r="N45" s="72"/>
      <c r="P45" s="43">
        <f t="shared" si="13"/>
        <v>18201</v>
      </c>
      <c r="Q45" s="43">
        <f t="shared" si="13"/>
        <v>45000</v>
      </c>
      <c r="R45" s="43">
        <f t="shared" si="13"/>
        <v>26800</v>
      </c>
      <c r="S45" s="78">
        <f t="shared" si="13"/>
        <v>0.16</v>
      </c>
      <c r="T45" s="44"/>
      <c r="U45" s="50">
        <f>IF(V44='SMSF Servicing Calculator'!$N$70,0,IF(('SMSF Servicing Calculator'!$N$70-V44)&gt;R45,R45,('SMSF Servicing Calculator'!$N$70-V44)))</f>
        <v>0</v>
      </c>
      <c r="V45" s="50">
        <f>V44+U45</f>
        <v>0</v>
      </c>
      <c r="W45" s="50">
        <f>U45*S45</f>
        <v>0</v>
      </c>
      <c r="X45" s="51"/>
      <c r="Y45" s="50">
        <f>U45-W45</f>
        <v>0</v>
      </c>
      <c r="AA45" s="73"/>
      <c r="AB45" s="72"/>
      <c r="AC45" s="72"/>
      <c r="AE45" s="43">
        <f t="shared" si="14"/>
        <v>18201</v>
      </c>
      <c r="AF45" s="43">
        <f t="shared" si="14"/>
        <v>45000</v>
      </c>
      <c r="AG45" s="48">
        <f t="shared" si="14"/>
        <v>26800</v>
      </c>
      <c r="AH45" s="69">
        <f t="shared" si="14"/>
        <v>0.16</v>
      </c>
      <c r="AI45" s="44"/>
      <c r="AJ45" s="50" t="e">
        <f>IF(AK44=#REF!,0,IF((#REF!-AK44)&gt;AG45,AG45,(#REF!-AK44)))</f>
        <v>#REF!</v>
      </c>
      <c r="AK45" s="50" t="e">
        <f>AK44+AJ45</f>
        <v>#REF!</v>
      </c>
      <c r="AL45" s="50" t="e">
        <f>AJ45*AH45</f>
        <v>#REF!</v>
      </c>
      <c r="AM45" s="51"/>
      <c r="AN45" s="50" t="e">
        <f>AJ45-AL45</f>
        <v>#REF!</v>
      </c>
      <c r="AP45" s="73"/>
      <c r="AQ45" s="72"/>
      <c r="AR45" s="72"/>
      <c r="AT45" s="43">
        <f t="shared" si="15"/>
        <v>18201</v>
      </c>
      <c r="AU45" s="43">
        <f t="shared" si="15"/>
        <v>45000</v>
      </c>
      <c r="AV45" s="43">
        <f t="shared" si="15"/>
        <v>26800</v>
      </c>
      <c r="AW45" s="78">
        <f t="shared" si="15"/>
        <v>0.16</v>
      </c>
      <c r="AX45" s="44"/>
      <c r="AY45" s="50">
        <v>0</v>
      </c>
      <c r="AZ45" s="50">
        <f>AZ44+AY45</f>
        <v>0</v>
      </c>
      <c r="BA45" s="50">
        <f>AY45*AW45</f>
        <v>0</v>
      </c>
      <c r="BB45" s="51"/>
      <c r="BC45" s="50">
        <f>AY45-BA45</f>
        <v>0</v>
      </c>
    </row>
    <row r="46" spans="1:55" ht="13.5" thickBot="1">
      <c r="A46" s="43">
        <f t="shared" si="12"/>
        <v>45001</v>
      </c>
      <c r="B46" s="43">
        <f t="shared" si="12"/>
        <v>135000</v>
      </c>
      <c r="C46" s="48">
        <f t="shared" si="12"/>
        <v>90000</v>
      </c>
      <c r="D46" s="69">
        <f t="shared" si="12"/>
        <v>0.3</v>
      </c>
      <c r="E46" s="44"/>
      <c r="F46" s="50">
        <f>IF(G45='Serviceability Calculator'!R36,0,IF(('Serviceability Calculator'!R36-G45)&gt;C46,C46,('Serviceability Calculator'!R36-G45)))</f>
        <v>0</v>
      </c>
      <c r="G46" s="50">
        <f>G45+F46</f>
        <v>0</v>
      </c>
      <c r="H46" s="50">
        <f>F46*D46</f>
        <v>0</v>
      </c>
      <c r="I46" s="51"/>
      <c r="J46" s="50">
        <f>F46-H46</f>
        <v>0</v>
      </c>
      <c r="L46" s="79"/>
      <c r="M46" s="72"/>
      <c r="N46" s="72"/>
      <c r="P46" s="43">
        <f t="shared" si="13"/>
        <v>45001</v>
      </c>
      <c r="Q46" s="43">
        <f t="shared" si="13"/>
        <v>135000</v>
      </c>
      <c r="R46" s="43">
        <f t="shared" si="13"/>
        <v>90000</v>
      </c>
      <c r="S46" s="78">
        <f t="shared" si="13"/>
        <v>0.3</v>
      </c>
      <c r="T46" s="44"/>
      <c r="U46" s="50">
        <f>IF(V45='SMSF Servicing Calculator'!$N$70,0,IF(('SMSF Servicing Calculator'!$N$70-V45)&gt;R46,R46,('SMSF Servicing Calculator'!$N$70-V45)))</f>
        <v>0</v>
      </c>
      <c r="V46" s="50">
        <f>V45+U46</f>
        <v>0</v>
      </c>
      <c r="W46" s="50">
        <f>U46*S46</f>
        <v>0</v>
      </c>
      <c r="X46" s="51"/>
      <c r="Y46" s="50">
        <f>U46-W46</f>
        <v>0</v>
      </c>
      <c r="AA46" s="79">
        <f>IF(U46&gt;13000,(U46-13000)*0.5%,0)</f>
        <v>0</v>
      </c>
      <c r="AB46" s="72"/>
      <c r="AC46" s="72"/>
      <c r="AE46" s="43">
        <f t="shared" si="14"/>
        <v>45001</v>
      </c>
      <c r="AF46" s="43">
        <f t="shared" si="14"/>
        <v>135000</v>
      </c>
      <c r="AG46" s="48">
        <f t="shared" si="14"/>
        <v>90000</v>
      </c>
      <c r="AH46" s="69">
        <f t="shared" si="14"/>
        <v>0.3</v>
      </c>
      <c r="AI46" s="44"/>
      <c r="AJ46" s="50" t="e">
        <f>IF(AK45=#REF!,0,IF((#REF!-AK45)&gt;AG46,AG46,(#REF!-AK45)))</f>
        <v>#REF!</v>
      </c>
      <c r="AK46" s="50" t="e">
        <f>AK45+AJ46</f>
        <v>#REF!</v>
      </c>
      <c r="AL46" s="50" t="e">
        <f>AJ46*AH46</f>
        <v>#REF!</v>
      </c>
      <c r="AM46" s="51"/>
      <c r="AN46" s="50" t="e">
        <f>AJ46-AL46</f>
        <v>#REF!</v>
      </c>
      <c r="AP46" s="79" t="e">
        <f>IF(AJ46&gt;13000,(AJ46-13000)*0.5%,0)</f>
        <v>#REF!</v>
      </c>
      <c r="AQ46" s="72"/>
      <c r="AR46" s="72"/>
      <c r="AT46" s="43">
        <f t="shared" si="15"/>
        <v>45001</v>
      </c>
      <c r="AU46" s="43">
        <f t="shared" si="15"/>
        <v>135000</v>
      </c>
      <c r="AV46" s="43">
        <f t="shared" si="15"/>
        <v>90000</v>
      </c>
      <c r="AW46" s="78">
        <f t="shared" si="15"/>
        <v>0.3</v>
      </c>
      <c r="AX46" s="44"/>
      <c r="AY46" s="50">
        <v>0</v>
      </c>
      <c r="AZ46" s="50">
        <f>AZ45+AY46</f>
        <v>0</v>
      </c>
      <c r="BA46" s="50">
        <f>AY46*AW46</f>
        <v>0</v>
      </c>
      <c r="BB46" s="51"/>
      <c r="BC46" s="50">
        <f>AY46-BA46</f>
        <v>0</v>
      </c>
    </row>
    <row r="47" spans="1:55" ht="13.5" thickBot="1">
      <c r="A47" s="43">
        <f t="shared" si="12"/>
        <v>135001</v>
      </c>
      <c r="B47" s="43">
        <f t="shared" si="12"/>
        <v>190001</v>
      </c>
      <c r="C47" s="48">
        <f t="shared" si="12"/>
        <v>55001</v>
      </c>
      <c r="D47" s="69">
        <f t="shared" si="12"/>
        <v>0.37</v>
      </c>
      <c r="E47" s="44"/>
      <c r="F47" s="50">
        <f>IF(G46='Serviceability Calculator'!R36,0,IF(('Serviceability Calculator'!R36-G46)&gt;C47,C47,('Serviceability Calculator'!R36-G46)))</f>
        <v>0</v>
      </c>
      <c r="G47" s="50">
        <f>G46+F47</f>
        <v>0</v>
      </c>
      <c r="H47" s="50">
        <f>F47*D47</f>
        <v>0</v>
      </c>
      <c r="I47" s="51"/>
      <c r="J47" s="50">
        <f>F47-H47</f>
        <v>0</v>
      </c>
      <c r="L47" s="73"/>
      <c r="M47" s="79"/>
      <c r="N47" s="80"/>
      <c r="P47" s="43">
        <f t="shared" si="13"/>
        <v>135001</v>
      </c>
      <c r="Q47" s="43">
        <f t="shared" si="13"/>
        <v>190001</v>
      </c>
      <c r="R47" s="43">
        <f t="shared" si="13"/>
        <v>55001</v>
      </c>
      <c r="S47" s="78">
        <f t="shared" si="13"/>
        <v>0.37</v>
      </c>
      <c r="T47" s="44"/>
      <c r="U47" s="50">
        <f>IF(V46='SMSF Servicing Calculator'!$N$70,0,IF(('SMSF Servicing Calculator'!$N$70-V46)&gt;R47,R47,('SMSF Servicing Calculator'!$N$70-V46)))</f>
        <v>0</v>
      </c>
      <c r="V47" s="50">
        <f>V46+U47</f>
        <v>0</v>
      </c>
      <c r="W47" s="50">
        <f>U47*S47</f>
        <v>0</v>
      </c>
      <c r="X47" s="51"/>
      <c r="Y47" s="50">
        <f>U47-W47</f>
        <v>0</v>
      </c>
      <c r="AA47" s="73">
        <f>SUM(AB47:AC47)</f>
        <v>0</v>
      </c>
      <c r="AB47" s="79">
        <f>IF(U47&lt;=20000,U47*0.5%,0)</f>
        <v>0</v>
      </c>
      <c r="AC47" s="80">
        <f>IF(U47&gt;20000,((U47-20000)*1%)+100,0)</f>
        <v>0</v>
      </c>
      <c r="AE47" s="43">
        <f t="shared" si="14"/>
        <v>135001</v>
      </c>
      <c r="AF47" s="43">
        <f t="shared" si="14"/>
        <v>190001</v>
      </c>
      <c r="AG47" s="48">
        <f t="shared" si="14"/>
        <v>55001</v>
      </c>
      <c r="AH47" s="69">
        <f t="shared" si="14"/>
        <v>0.37</v>
      </c>
      <c r="AI47" s="44"/>
      <c r="AJ47" s="50" t="e">
        <f>IF(AK46=#REF!,0,IF((#REF!-AK46)&gt;AG47,AG47,(#REF!-AK46)))</f>
        <v>#REF!</v>
      </c>
      <c r="AK47" s="50" t="e">
        <f>AK46+AJ47</f>
        <v>#REF!</v>
      </c>
      <c r="AL47" s="50" t="e">
        <f>AJ47*AH47</f>
        <v>#REF!</v>
      </c>
      <c r="AM47" s="51"/>
      <c r="AN47" s="50" t="e">
        <f>AJ47-AL47</f>
        <v>#REF!</v>
      </c>
      <c r="AP47" s="73" t="e">
        <f>SUM(AQ47:AR47)</f>
        <v>#REF!</v>
      </c>
      <c r="AQ47" s="79" t="e">
        <f>IF(AJ47&lt;=20000,AJ47*0.5%,0)</f>
        <v>#REF!</v>
      </c>
      <c r="AR47" s="80" t="e">
        <f>IF(AJ47&gt;20000,((AJ47-20000)*1%)+100,0)</f>
        <v>#REF!</v>
      </c>
      <c r="AT47" s="43">
        <f t="shared" si="15"/>
        <v>135001</v>
      </c>
      <c r="AU47" s="43">
        <f t="shared" si="15"/>
        <v>190001</v>
      </c>
      <c r="AV47" s="43">
        <f t="shared" si="15"/>
        <v>55001</v>
      </c>
      <c r="AW47" s="78">
        <f t="shared" si="15"/>
        <v>0.37</v>
      </c>
      <c r="AX47" s="44"/>
      <c r="AY47" s="50">
        <v>0</v>
      </c>
      <c r="AZ47" s="50">
        <f>AZ46+AY47</f>
        <v>0</v>
      </c>
      <c r="BA47" s="50">
        <f>AY47*AW47</f>
        <v>0</v>
      </c>
      <c r="BB47" s="51"/>
      <c r="BC47" s="50">
        <f>AY47-BA47</f>
        <v>0</v>
      </c>
    </row>
    <row r="48" spans="1:55" ht="13.5" thickBot="1">
      <c r="A48" s="43">
        <f t="shared" si="12"/>
        <v>190001</v>
      </c>
      <c r="B48" s="43">
        <f t="shared" si="12"/>
        <v>100000000</v>
      </c>
      <c r="C48" s="48">
        <f t="shared" si="12"/>
        <v>99810000</v>
      </c>
      <c r="D48" s="69">
        <f t="shared" si="12"/>
        <v>0.45</v>
      </c>
      <c r="E48" s="44"/>
      <c r="F48" s="50">
        <f>IF('Serviceability Calculator'!R36-G47&lt;=0,0,('Serviceability Calculator'!R36-G47))</f>
        <v>0</v>
      </c>
      <c r="G48" s="50">
        <f>G47+F48</f>
        <v>0</v>
      </c>
      <c r="H48" s="50">
        <f>F48*D48</f>
        <v>0</v>
      </c>
      <c r="I48" s="51"/>
      <c r="J48" s="50">
        <f>F48-H48</f>
        <v>0</v>
      </c>
      <c r="L48" s="79"/>
      <c r="M48" s="72"/>
      <c r="N48" s="72"/>
      <c r="P48" s="43">
        <f t="shared" si="13"/>
        <v>190001</v>
      </c>
      <c r="Q48" s="43">
        <f t="shared" si="13"/>
        <v>100000000</v>
      </c>
      <c r="R48" s="43">
        <f t="shared" si="13"/>
        <v>99810000</v>
      </c>
      <c r="S48" s="78">
        <f t="shared" si="13"/>
        <v>0.45</v>
      </c>
      <c r="T48" s="44"/>
      <c r="U48" s="50">
        <f>IF(V47='SMSF Servicing Calculator'!$N$70,0,IF(('SMSF Servicing Calculator'!$N$70-V47)&gt;R48,R48,('SMSF Servicing Calculator'!$N$70-V47)))</f>
        <v>0</v>
      </c>
      <c r="V48" s="50">
        <f>V47+U48</f>
        <v>0</v>
      </c>
      <c r="W48" s="50">
        <f>U48*S48</f>
        <v>0</v>
      </c>
      <c r="X48" s="51"/>
      <c r="Y48" s="50">
        <f>U48-W48</f>
        <v>0</v>
      </c>
      <c r="AA48" s="79">
        <f>U48*1%</f>
        <v>0</v>
      </c>
      <c r="AB48" s="72"/>
      <c r="AC48" s="72"/>
      <c r="AE48" s="43">
        <f t="shared" si="14"/>
        <v>190001</v>
      </c>
      <c r="AF48" s="43">
        <f t="shared" si="14"/>
        <v>100000000</v>
      </c>
      <c r="AG48" s="48">
        <f t="shared" si="14"/>
        <v>99810000</v>
      </c>
      <c r="AH48" s="69">
        <f t="shared" si="14"/>
        <v>0.45</v>
      </c>
      <c r="AI48" s="44"/>
      <c r="AJ48" s="50" t="e">
        <f>IF(#REF!-AK47&lt;=0,0,(#REF!-AK47))</f>
        <v>#REF!</v>
      </c>
      <c r="AK48" s="50" t="e">
        <f>AK47+AJ48</f>
        <v>#REF!</v>
      </c>
      <c r="AL48" s="50" t="e">
        <f>AJ48*AH48</f>
        <v>#REF!</v>
      </c>
      <c r="AM48" s="51"/>
      <c r="AN48" s="50" t="e">
        <f>AJ48-AL48</f>
        <v>#REF!</v>
      </c>
      <c r="AP48" s="79" t="e">
        <f>AJ48*1%</f>
        <v>#REF!</v>
      </c>
      <c r="AQ48" s="72"/>
      <c r="AR48" s="72"/>
      <c r="AT48" s="43">
        <f t="shared" si="15"/>
        <v>190001</v>
      </c>
      <c r="AU48" s="43">
        <f t="shared" si="15"/>
        <v>100000000</v>
      </c>
      <c r="AV48" s="43">
        <f t="shared" si="15"/>
        <v>99810000</v>
      </c>
      <c r="AW48" s="78">
        <f t="shared" si="15"/>
        <v>0.45</v>
      </c>
      <c r="AX48" s="44"/>
      <c r="AY48" s="50">
        <v>0</v>
      </c>
      <c r="AZ48" s="50">
        <f>AZ47+AY48</f>
        <v>0</v>
      </c>
      <c r="BA48" s="50">
        <f>AY48*AW48</f>
        <v>0</v>
      </c>
      <c r="BB48" s="51"/>
      <c r="BC48" s="50">
        <f>AY48-BA48</f>
        <v>0</v>
      </c>
    </row>
    <row r="49" spans="1:55" ht="13.5" thickBot="1">
      <c r="A49" s="48"/>
      <c r="B49" s="48"/>
      <c r="C49" s="46"/>
      <c r="D49" s="52" t="s">
        <v>59</v>
      </c>
      <c r="E49" s="44"/>
      <c r="F49" s="50">
        <f>SUM(F44:F48)</f>
        <v>0</v>
      </c>
      <c r="G49" s="50"/>
      <c r="H49" s="50">
        <f>SUM(H44:H48)</f>
        <v>0</v>
      </c>
      <c r="I49" s="51"/>
      <c r="J49" s="50">
        <f>SUM(J44:J48)</f>
        <v>0</v>
      </c>
      <c r="L49" s="77"/>
      <c r="M49" s="72"/>
      <c r="N49" s="72"/>
      <c r="P49" s="48"/>
      <c r="Q49" s="48"/>
      <c r="R49" s="46"/>
      <c r="S49" s="52" t="s">
        <v>59</v>
      </c>
      <c r="T49" s="44"/>
      <c r="U49" s="50">
        <f>SUM(U44:U48)</f>
        <v>0</v>
      </c>
      <c r="V49" s="50"/>
      <c r="W49" s="50">
        <f>SUM(W44:W48)</f>
        <v>0</v>
      </c>
      <c r="X49" s="51"/>
      <c r="Y49" s="50">
        <f>SUM(Y44:Y48)</f>
        <v>0</v>
      </c>
      <c r="AA49" s="77">
        <f>SUM(AA46:AA48)</f>
        <v>0</v>
      </c>
      <c r="AB49" s="72"/>
      <c r="AC49" s="72"/>
      <c r="AE49" s="48"/>
      <c r="AF49" s="48"/>
      <c r="AG49" s="46"/>
      <c r="AH49" s="52" t="s">
        <v>59</v>
      </c>
      <c r="AI49" s="44"/>
      <c r="AJ49" s="50" t="e">
        <f>SUM(AJ44:AJ48)</f>
        <v>#REF!</v>
      </c>
      <c r="AK49" s="50"/>
      <c r="AL49" s="50" t="e">
        <f>SUM(AL44:AL48)</f>
        <v>#REF!</v>
      </c>
      <c r="AM49" s="51"/>
      <c r="AN49" s="50" t="e">
        <f>SUM(AN44:AN48)</f>
        <v>#REF!</v>
      </c>
      <c r="AP49" s="77" t="e">
        <f>SUM(AP46:AP48)</f>
        <v>#REF!</v>
      </c>
      <c r="AQ49" s="72"/>
      <c r="AR49" s="72"/>
      <c r="AT49" s="48"/>
      <c r="AU49" s="48"/>
      <c r="AV49" s="46"/>
      <c r="AW49" s="52" t="s">
        <v>59</v>
      </c>
      <c r="AX49" s="44"/>
      <c r="AY49" s="50">
        <f>SUM(AY44:AY48)</f>
        <v>0</v>
      </c>
      <c r="AZ49" s="50"/>
      <c r="BA49" s="50">
        <f>SUM(BA44:BA48)</f>
        <v>0</v>
      </c>
      <c r="BB49" s="51"/>
      <c r="BC49" s="50">
        <f>SUM(BC44:BC48)</f>
        <v>0</v>
      </c>
    </row>
    <row r="50" spans="1:55">
      <c r="A50" s="65" t="s">
        <v>86</v>
      </c>
      <c r="C50" s="75">
        <v>0</v>
      </c>
      <c r="D50" s="76" t="s">
        <v>84</v>
      </c>
      <c r="E50" s="44"/>
      <c r="F50" s="43"/>
      <c r="G50" s="43"/>
      <c r="H50" s="43"/>
      <c r="I50" s="43"/>
      <c r="J50" s="43"/>
      <c r="L50" s="73"/>
      <c r="M50" s="72"/>
      <c r="N50" s="72"/>
      <c r="P50" s="65" t="s">
        <v>86</v>
      </c>
      <c r="R50" s="75">
        <v>0</v>
      </c>
      <c r="S50" s="76" t="s">
        <v>84</v>
      </c>
      <c r="T50" s="44"/>
      <c r="U50" s="43"/>
      <c r="V50" s="43"/>
      <c r="W50" s="43"/>
      <c r="X50" s="43"/>
      <c r="Y50" s="43"/>
      <c r="AA50" s="73"/>
      <c r="AB50" s="72"/>
      <c r="AC50" s="72"/>
      <c r="AE50" s="65" t="s">
        <v>87</v>
      </c>
      <c r="AG50" s="75">
        <v>0</v>
      </c>
      <c r="AH50" s="76" t="s">
        <v>48</v>
      </c>
      <c r="AI50" s="44"/>
      <c r="AJ50" s="43"/>
      <c r="AK50" s="43"/>
      <c r="AL50" s="43"/>
      <c r="AM50" s="43"/>
      <c r="AN50" s="43"/>
      <c r="AP50" s="73"/>
      <c r="AQ50" s="72"/>
      <c r="AR50" s="72"/>
      <c r="AT50" s="65" t="s">
        <v>86</v>
      </c>
      <c r="AV50" s="75">
        <f>IF($AY$49&lt;=$B$97,$D$97,(IF($AY$49&lt;=$B$98,$D$98,IF($AY$49&lt;=$B$99,(($AY$49-$B$98)*$C$99)+$D$99,IF($AY$49&lt;=$B$100,$D$100,IF($AY$49&lt;=$B$101,(($AY$49-$B$100)*$C$101)+$D$101,IF($AY$49&lt;=$B$102,$D$102,0)))))))/12</f>
        <v>0</v>
      </c>
      <c r="AW50" s="76" t="s">
        <v>84</v>
      </c>
      <c r="AX50" s="44"/>
      <c r="AY50" s="43"/>
      <c r="AZ50" s="43"/>
      <c r="BA50" s="43"/>
      <c r="BB50" s="43"/>
      <c r="BC50" s="43"/>
    </row>
    <row r="51" spans="1:55">
      <c r="A51" s="65" t="s">
        <v>85</v>
      </c>
      <c r="C51" s="75">
        <v>0</v>
      </c>
      <c r="D51" s="76" t="s">
        <v>84</v>
      </c>
      <c r="E51" s="44"/>
      <c r="F51" s="43"/>
      <c r="G51" s="43"/>
      <c r="H51" s="43"/>
      <c r="I51" s="43"/>
      <c r="J51" s="43"/>
      <c r="L51" s="73"/>
      <c r="M51" s="72"/>
      <c r="N51" s="72"/>
      <c r="P51" s="65" t="s">
        <v>85</v>
      </c>
      <c r="R51" s="75">
        <v>0</v>
      </c>
      <c r="S51" s="76" t="s">
        <v>84</v>
      </c>
      <c r="T51" s="44"/>
      <c r="U51" s="43"/>
      <c r="V51" s="43"/>
      <c r="W51" s="43"/>
      <c r="X51" s="43"/>
      <c r="Y51" s="43"/>
      <c r="AA51" s="73"/>
      <c r="AB51" s="72"/>
      <c r="AC51" s="72"/>
      <c r="AE51" s="65"/>
      <c r="AG51" s="75"/>
      <c r="AH51" s="76"/>
      <c r="AI51" s="44"/>
      <c r="AJ51" s="43"/>
      <c r="AK51" s="43"/>
      <c r="AL51" s="43"/>
      <c r="AM51" s="43"/>
      <c r="AN51" s="43"/>
      <c r="AP51" s="73"/>
      <c r="AQ51" s="72"/>
      <c r="AR51" s="72"/>
      <c r="AT51" s="65" t="s">
        <v>85</v>
      </c>
      <c r="AV51" s="75">
        <f>IF($AY$49&lt;=$B$109,$D$109,IF($AY$49&lt;=$B$110,$D$110,IF($AY$49&lt;=$B$111,(($AY$49-$B$110)*$C$111)+$D$111,IF($AY$49&lt;=$B$112,$D$112,0))))/12</f>
        <v>0</v>
      </c>
      <c r="AW51" s="76" t="s">
        <v>84</v>
      </c>
      <c r="AX51" s="44"/>
      <c r="AY51" s="43"/>
      <c r="AZ51" s="43"/>
      <c r="BA51" s="43"/>
      <c r="BB51" s="43"/>
      <c r="BC51" s="43"/>
    </row>
    <row r="52" spans="1:55" ht="13.5" thickBot="1">
      <c r="A52" s="57" t="s">
        <v>83</v>
      </c>
      <c r="C52" s="75">
        <f>F49*(2/100)/12</f>
        <v>0</v>
      </c>
      <c r="D52" s="74">
        <v>0.02</v>
      </c>
      <c r="E52" s="44"/>
      <c r="F52" s="43"/>
      <c r="G52" s="43"/>
      <c r="H52" s="43"/>
      <c r="I52" s="43"/>
      <c r="J52" s="43"/>
      <c r="L52" s="73"/>
      <c r="M52" s="72"/>
      <c r="N52" s="72"/>
      <c r="P52" s="57" t="s">
        <v>83</v>
      </c>
      <c r="R52" s="75">
        <f>U49*(2/100)/12</f>
        <v>0</v>
      </c>
      <c r="S52" s="74">
        <v>0.02</v>
      </c>
      <c r="T52" s="44"/>
      <c r="U52" s="43"/>
      <c r="V52" s="43"/>
      <c r="W52" s="43"/>
      <c r="X52" s="43"/>
      <c r="Y52" s="43"/>
      <c r="AA52" s="73"/>
      <c r="AB52" s="72"/>
      <c r="AC52" s="72"/>
      <c r="AE52" s="57" t="s">
        <v>83</v>
      </c>
      <c r="AG52" s="75">
        <v>0</v>
      </c>
      <c r="AH52" s="76" t="s">
        <v>48</v>
      </c>
      <c r="AI52" s="44"/>
      <c r="AJ52" s="43"/>
      <c r="AK52" s="43"/>
      <c r="AL52" s="43"/>
      <c r="AM52" s="43"/>
      <c r="AN52" s="43"/>
      <c r="AP52" s="73"/>
      <c r="AQ52" s="72"/>
      <c r="AR52" s="72"/>
      <c r="AT52" s="57" t="s">
        <v>83</v>
      </c>
      <c r="AV52" s="75">
        <f>AY49*(2/100)/12</f>
        <v>0</v>
      </c>
      <c r="AW52" s="74">
        <v>0.02</v>
      </c>
      <c r="AX52" s="44"/>
      <c r="AY52" s="43"/>
      <c r="AZ52" s="43"/>
      <c r="BA52" s="43"/>
      <c r="BB52" s="43"/>
      <c r="BC52" s="43"/>
    </row>
    <row r="53" spans="1:55" ht="13.5" thickBot="1">
      <c r="A53" s="48"/>
      <c r="B53" s="47"/>
      <c r="C53" s="71">
        <f>SUM(C50:C52)</f>
        <v>0</v>
      </c>
      <c r="D53" s="45"/>
      <c r="E53" s="44"/>
      <c r="F53" s="43"/>
      <c r="G53" s="43"/>
      <c r="H53" s="42" t="s">
        <v>33</v>
      </c>
      <c r="I53" s="41"/>
      <c r="J53" s="40">
        <f>(J49/12)-C53</f>
        <v>0</v>
      </c>
      <c r="L53" s="73"/>
      <c r="M53" s="72"/>
      <c r="N53" s="72"/>
      <c r="P53" s="48"/>
      <c r="Q53" s="47"/>
      <c r="R53" s="71">
        <f>SUM(R50:R52)</f>
        <v>0</v>
      </c>
      <c r="S53" s="45"/>
      <c r="T53" s="44"/>
      <c r="U53" s="43"/>
      <c r="V53" s="43"/>
      <c r="W53" s="42" t="s">
        <v>33</v>
      </c>
      <c r="X53" s="41"/>
      <c r="Y53" s="40">
        <f>(Y49/12)-R53</f>
        <v>0</v>
      </c>
      <c r="AA53" s="73"/>
      <c r="AB53" s="72"/>
      <c r="AC53" s="72"/>
      <c r="AE53" s="48"/>
      <c r="AF53" s="47"/>
      <c r="AG53" s="71">
        <f>SUM(AG50:AG52)</f>
        <v>0</v>
      </c>
      <c r="AH53" s="45"/>
      <c r="AI53" s="44"/>
      <c r="AJ53" s="43"/>
      <c r="AK53" s="43"/>
      <c r="AL53" s="42" t="s">
        <v>33</v>
      </c>
      <c r="AM53" s="41"/>
      <c r="AN53" s="40" t="e">
        <f>(AN49/12)-AG53</f>
        <v>#REF!</v>
      </c>
      <c r="AP53" s="73"/>
      <c r="AQ53" s="72"/>
      <c r="AR53" s="72"/>
      <c r="AT53" s="48"/>
      <c r="AU53" s="47"/>
      <c r="AV53" s="71">
        <f>SUM(AV50:AV52)</f>
        <v>0</v>
      </c>
      <c r="AW53" s="45"/>
      <c r="AX53" s="44"/>
      <c r="AY53" s="43"/>
      <c r="AZ53" s="43"/>
      <c r="BA53" s="42" t="s">
        <v>33</v>
      </c>
      <c r="BB53" s="41"/>
      <c r="BC53" s="40">
        <f>(BC49/12)-AV53</f>
        <v>0</v>
      </c>
    </row>
    <row r="54" spans="1:55">
      <c r="A54" s="46"/>
      <c r="B54" s="46"/>
      <c r="C54" s="46"/>
      <c r="E54" s="46"/>
      <c r="F54" s="46"/>
      <c r="G54" s="46"/>
      <c r="H54" s="46"/>
      <c r="I54" s="46"/>
      <c r="J54" s="46"/>
      <c r="P54" s="46"/>
      <c r="Q54" s="46"/>
      <c r="R54" s="46"/>
      <c r="T54" s="46"/>
      <c r="U54" s="46"/>
      <c r="V54" s="46"/>
      <c r="W54" s="46"/>
      <c r="X54" s="46"/>
      <c r="Y54" s="46"/>
      <c r="AA54" s="39"/>
      <c r="AE54" s="46"/>
      <c r="AF54" s="46"/>
      <c r="AG54" s="46"/>
      <c r="AI54" s="46"/>
      <c r="AJ54" s="46"/>
      <c r="AK54" s="46"/>
      <c r="AL54" s="46"/>
      <c r="AM54" s="46"/>
      <c r="AN54" s="46"/>
      <c r="AT54" s="46"/>
      <c r="AU54" s="46"/>
      <c r="AV54" s="46"/>
      <c r="AX54" s="46"/>
      <c r="AY54" s="46"/>
      <c r="AZ54" s="46"/>
      <c r="BA54" s="46"/>
      <c r="BB54" s="46"/>
      <c r="BC54" s="46"/>
    </row>
    <row r="55" spans="1:55" hidden="1">
      <c r="A55" s="90" t="s">
        <v>82</v>
      </c>
      <c r="B55" s="90"/>
      <c r="C55" s="90"/>
      <c r="D55" s="90"/>
      <c r="E55" s="90"/>
      <c r="F55" s="90"/>
      <c r="G55" s="90"/>
      <c r="H55" s="91"/>
      <c r="I55" s="91"/>
      <c r="J55" s="91"/>
      <c r="P55" s="90" t="s">
        <v>82</v>
      </c>
      <c r="Q55" s="90"/>
      <c r="R55" s="90"/>
      <c r="S55" s="90"/>
      <c r="T55" s="90"/>
      <c r="U55" s="90"/>
      <c r="V55" s="90"/>
      <c r="W55" s="91"/>
      <c r="X55" s="91"/>
      <c r="Y55" s="91"/>
      <c r="AA55" s="39"/>
      <c r="AE55" s="90" t="s">
        <v>82</v>
      </c>
      <c r="AF55" s="90"/>
      <c r="AG55" s="90"/>
      <c r="AH55" s="90"/>
      <c r="AI55" s="90"/>
      <c r="AJ55" s="90"/>
      <c r="AK55" s="90"/>
      <c r="AL55" s="91"/>
      <c r="AM55" s="91"/>
      <c r="AN55" s="91"/>
      <c r="AT55" s="90" t="s">
        <v>82</v>
      </c>
      <c r="AU55" s="90"/>
      <c r="AV55" s="90"/>
      <c r="AW55" s="90"/>
      <c r="AX55" s="90"/>
      <c r="AY55" s="90"/>
      <c r="AZ55" s="90"/>
      <c r="BA55" s="91"/>
      <c r="BB55" s="91"/>
      <c r="BC55" s="91"/>
    </row>
    <row r="56" spans="1:55" ht="13.5" hidden="1" thickBot="1">
      <c r="A56" s="57" t="s">
        <v>64</v>
      </c>
      <c r="B56" s="57"/>
      <c r="C56" s="46"/>
      <c r="D56" s="57" t="s">
        <v>63</v>
      </c>
      <c r="E56" s="46"/>
      <c r="F56" s="56" t="s">
        <v>62</v>
      </c>
      <c r="G56" s="56"/>
      <c r="H56" s="56" t="s">
        <v>61</v>
      </c>
      <c r="I56" s="56"/>
      <c r="J56" s="56" t="s">
        <v>60</v>
      </c>
      <c r="P56" s="57" t="s">
        <v>64</v>
      </c>
      <c r="Q56" s="57"/>
      <c r="R56" s="46"/>
      <c r="S56" s="57" t="s">
        <v>63</v>
      </c>
      <c r="T56" s="46"/>
      <c r="U56" s="56" t="s">
        <v>62</v>
      </c>
      <c r="V56" s="56"/>
      <c r="W56" s="56" t="s">
        <v>61</v>
      </c>
      <c r="X56" s="56"/>
      <c r="Y56" s="56" t="s">
        <v>60</v>
      </c>
      <c r="AA56" s="39"/>
      <c r="AE56" s="57" t="s">
        <v>64</v>
      </c>
      <c r="AF56" s="57"/>
      <c r="AG56" s="46"/>
      <c r="AH56" s="57" t="s">
        <v>63</v>
      </c>
      <c r="AI56" s="46"/>
      <c r="AJ56" s="56" t="s">
        <v>62</v>
      </c>
      <c r="AK56" s="56"/>
      <c r="AL56" s="56" t="s">
        <v>61</v>
      </c>
      <c r="AM56" s="56"/>
      <c r="AN56" s="56" t="s">
        <v>60</v>
      </c>
      <c r="AT56" s="57" t="s">
        <v>64</v>
      </c>
      <c r="AU56" s="57"/>
      <c r="AV56" s="46"/>
      <c r="AW56" s="57" t="s">
        <v>63</v>
      </c>
      <c r="AX56" s="46"/>
      <c r="AY56" s="56" t="s">
        <v>62</v>
      </c>
      <c r="AZ56" s="56"/>
      <c r="BA56" s="56" t="s">
        <v>61</v>
      </c>
      <c r="BB56" s="56"/>
      <c r="BC56" s="56" t="s">
        <v>60</v>
      </c>
    </row>
    <row r="57" spans="1:55" ht="13.5" hidden="1" thickBot="1">
      <c r="A57" s="43">
        <v>1</v>
      </c>
      <c r="B57" s="43">
        <v>6000</v>
      </c>
      <c r="C57" s="48">
        <f>B57-A57+1</f>
        <v>6000</v>
      </c>
      <c r="D57" s="45">
        <v>0</v>
      </c>
      <c r="E57" s="44"/>
      <c r="F57" s="50" t="e">
        <f>IF('Serviceability Calculator'!#REF!&lt;B57,'Serviceability Calculator'!#REF!,C57)</f>
        <v>#REF!</v>
      </c>
      <c r="G57" s="50" t="e">
        <f>F57</f>
        <v>#REF!</v>
      </c>
      <c r="H57" s="50" t="e">
        <f>F57*D57</f>
        <v>#REF!</v>
      </c>
      <c r="I57" s="51"/>
      <c r="J57" s="50" t="e">
        <f>F57-H57</f>
        <v>#REF!</v>
      </c>
      <c r="P57" s="43">
        <v>1</v>
      </c>
      <c r="Q57" s="43">
        <v>6000</v>
      </c>
      <c r="R57" s="48">
        <f>Q57-P57+1</f>
        <v>6000</v>
      </c>
      <c r="S57" s="45">
        <v>0</v>
      </c>
      <c r="T57" s="44"/>
      <c r="U57" s="50" t="e">
        <f>IF('Serviceability Calculator'!#REF!&lt;Q57,'Serviceability Calculator'!#REF!,R57)</f>
        <v>#REF!</v>
      </c>
      <c r="V57" s="50" t="e">
        <f>U57</f>
        <v>#REF!</v>
      </c>
      <c r="W57" s="50" t="e">
        <f>U57*S57</f>
        <v>#REF!</v>
      </c>
      <c r="X57" s="51"/>
      <c r="Y57" s="50" t="e">
        <f>U57-W57</f>
        <v>#REF!</v>
      </c>
      <c r="AA57" s="39"/>
      <c r="AE57" s="43">
        <v>1</v>
      </c>
      <c r="AF57" s="43">
        <v>6000</v>
      </c>
      <c r="AG57" s="48">
        <f>AF57-AE57+1</f>
        <v>6000</v>
      </c>
      <c r="AH57" s="45">
        <v>0</v>
      </c>
      <c r="AI57" s="44"/>
      <c r="AJ57" s="50" t="e">
        <f>IF(#REF!&lt;AF57,#REF!,AG57)</f>
        <v>#REF!</v>
      </c>
      <c r="AK57" s="50" t="e">
        <f>AJ57</f>
        <v>#REF!</v>
      </c>
      <c r="AL57" s="50" t="e">
        <f>AJ57*AH57</f>
        <v>#REF!</v>
      </c>
      <c r="AM57" s="51"/>
      <c r="AN57" s="50" t="e">
        <f>AJ57-AL57</f>
        <v>#REF!</v>
      </c>
      <c r="AT57" s="43">
        <v>1</v>
      </c>
      <c r="AU57" s="43">
        <v>6000</v>
      </c>
      <c r="AV57" s="48">
        <f>AU57-AT57+1</f>
        <v>6000</v>
      </c>
      <c r="AW57" s="45">
        <v>0</v>
      </c>
      <c r="AX57" s="44"/>
      <c r="AY57" s="50" t="e">
        <f>IF('Serviceability Calculator'!#REF!&lt;AU57,'Serviceability Calculator'!#REF!,AV57)</f>
        <v>#REF!</v>
      </c>
      <c r="AZ57" s="50" t="e">
        <f>AY57</f>
        <v>#REF!</v>
      </c>
      <c r="BA57" s="50" t="e">
        <f>AY57*AW57</f>
        <v>#REF!</v>
      </c>
      <c r="BB57" s="51"/>
      <c r="BC57" s="50" t="e">
        <f>AY57-BA57</f>
        <v>#REF!</v>
      </c>
    </row>
    <row r="58" spans="1:55" ht="13.5" hidden="1" thickBot="1">
      <c r="A58" s="43">
        <v>6001</v>
      </c>
      <c r="B58" s="43">
        <v>35000</v>
      </c>
      <c r="C58" s="48">
        <f>B58-A58+1</f>
        <v>29000</v>
      </c>
      <c r="D58" s="45">
        <v>0.15</v>
      </c>
      <c r="E58" s="44"/>
      <c r="F58" s="50" t="e">
        <f>IF(G57='Serviceability Calculator'!#REF!,0,IF(('Serviceability Calculator'!#REF!-G57)&gt;C58,C58,('Serviceability Calculator'!#REF!-G57)))</f>
        <v>#REF!</v>
      </c>
      <c r="G58" s="50" t="e">
        <f>G57+F58</f>
        <v>#REF!</v>
      </c>
      <c r="H58" s="50" t="e">
        <f>F58*D58</f>
        <v>#REF!</v>
      </c>
      <c r="I58" s="51"/>
      <c r="J58" s="50" t="e">
        <f>F58-H58</f>
        <v>#REF!</v>
      </c>
      <c r="P58" s="43">
        <v>6001</v>
      </c>
      <c r="Q58" s="43">
        <v>35000</v>
      </c>
      <c r="R58" s="48">
        <f>Q58-P58+1</f>
        <v>29000</v>
      </c>
      <c r="S58" s="45">
        <v>0.15</v>
      </c>
      <c r="T58" s="44"/>
      <c r="U58" s="50" t="e">
        <f>IF(V57='Serviceability Calculator'!#REF!,0,IF(('Serviceability Calculator'!#REF!-V57)&gt;R58,R58,('Serviceability Calculator'!#REF!-V57)))</f>
        <v>#REF!</v>
      </c>
      <c r="V58" s="50" t="e">
        <f>V57+U58</f>
        <v>#REF!</v>
      </c>
      <c r="W58" s="50" t="e">
        <f>U58*S58</f>
        <v>#REF!</v>
      </c>
      <c r="X58" s="51"/>
      <c r="Y58" s="50" t="e">
        <f>U58-W58</f>
        <v>#REF!</v>
      </c>
      <c r="AA58" s="39"/>
      <c r="AE58" s="43">
        <v>6001</v>
      </c>
      <c r="AF58" s="43">
        <v>35000</v>
      </c>
      <c r="AG58" s="48">
        <f>AF58-AE58+1</f>
        <v>29000</v>
      </c>
      <c r="AH58" s="45">
        <v>0.15</v>
      </c>
      <c r="AI58" s="44"/>
      <c r="AJ58" s="50" t="e">
        <f>IF(AK57=#REF!,0,IF((#REF!-AK57)&gt;AG58,AG58,(#REF!-AK57)))</f>
        <v>#REF!</v>
      </c>
      <c r="AK58" s="50" t="e">
        <f>AK57+AJ58</f>
        <v>#REF!</v>
      </c>
      <c r="AL58" s="50" t="e">
        <f>AJ58*AH58</f>
        <v>#REF!</v>
      </c>
      <c r="AM58" s="51"/>
      <c r="AN58" s="50" t="e">
        <f>AJ58-AL58</f>
        <v>#REF!</v>
      </c>
      <c r="AT58" s="43">
        <v>6001</v>
      </c>
      <c r="AU58" s="43">
        <v>35000</v>
      </c>
      <c r="AV58" s="48">
        <f>AU58-AT58+1</f>
        <v>29000</v>
      </c>
      <c r="AW58" s="45">
        <v>0.15</v>
      </c>
      <c r="AX58" s="44"/>
      <c r="AY58" s="50" t="e">
        <f>IF(AZ57='Serviceability Calculator'!#REF!,0,IF(('Serviceability Calculator'!#REF!-AZ57)&gt;AV58,AV58,('Serviceability Calculator'!#REF!-AZ57)))</f>
        <v>#REF!</v>
      </c>
      <c r="AZ58" s="50" t="e">
        <f>AZ57+AY58</f>
        <v>#REF!</v>
      </c>
      <c r="BA58" s="50" t="e">
        <f>AY58*AW58</f>
        <v>#REF!</v>
      </c>
      <c r="BB58" s="51"/>
      <c r="BC58" s="50" t="e">
        <f>AY58-BA58</f>
        <v>#REF!</v>
      </c>
    </row>
    <row r="59" spans="1:55" ht="13.5" hidden="1" thickBot="1">
      <c r="A59" s="43">
        <v>35001</v>
      </c>
      <c r="B59" s="43">
        <v>80000</v>
      </c>
      <c r="C59" s="48">
        <f>B59-A59+1</f>
        <v>45000</v>
      </c>
      <c r="D59" s="45">
        <v>0.3</v>
      </c>
      <c r="E59" s="44"/>
      <c r="F59" s="50" t="e">
        <f>IF(G58='Serviceability Calculator'!#REF!,0,IF(('Serviceability Calculator'!#REF!-G58)&gt;C59,C59,('Serviceability Calculator'!#REF!-G58)))</f>
        <v>#REF!</v>
      </c>
      <c r="G59" s="50" t="e">
        <f>G58+F59</f>
        <v>#REF!</v>
      </c>
      <c r="H59" s="50" t="e">
        <f>F59*D59</f>
        <v>#REF!</v>
      </c>
      <c r="I59" s="51"/>
      <c r="J59" s="50" t="e">
        <f>F59-H59</f>
        <v>#REF!</v>
      </c>
      <c r="P59" s="43">
        <v>35001</v>
      </c>
      <c r="Q59" s="43">
        <v>80000</v>
      </c>
      <c r="R59" s="48">
        <f>Q59-P59+1</f>
        <v>45000</v>
      </c>
      <c r="S59" s="45">
        <v>0.3</v>
      </c>
      <c r="T59" s="44"/>
      <c r="U59" s="50" t="e">
        <f>IF(V58='Serviceability Calculator'!#REF!,0,IF(('Serviceability Calculator'!#REF!-V58)&gt;R59,R59,('Serviceability Calculator'!#REF!-V58)))</f>
        <v>#REF!</v>
      </c>
      <c r="V59" s="50" t="e">
        <f>V58+U59</f>
        <v>#REF!</v>
      </c>
      <c r="W59" s="50" t="e">
        <f>U59*S59</f>
        <v>#REF!</v>
      </c>
      <c r="X59" s="51"/>
      <c r="Y59" s="50" t="e">
        <f>U59-W59</f>
        <v>#REF!</v>
      </c>
      <c r="AA59" s="39"/>
      <c r="AE59" s="43">
        <v>35001</v>
      </c>
      <c r="AF59" s="43">
        <v>80000</v>
      </c>
      <c r="AG59" s="48">
        <f>AF59-AE59+1</f>
        <v>45000</v>
      </c>
      <c r="AH59" s="45">
        <v>0.3</v>
      </c>
      <c r="AI59" s="44"/>
      <c r="AJ59" s="50" t="e">
        <f>IF(AK58=#REF!,0,IF((#REF!-AK58)&gt;AG59,AG59,(#REF!-AK58)))</f>
        <v>#REF!</v>
      </c>
      <c r="AK59" s="50" t="e">
        <f>AK58+AJ59</f>
        <v>#REF!</v>
      </c>
      <c r="AL59" s="50" t="e">
        <f>AJ59*AH59</f>
        <v>#REF!</v>
      </c>
      <c r="AM59" s="51"/>
      <c r="AN59" s="50" t="e">
        <f>AJ59-AL59</f>
        <v>#REF!</v>
      </c>
      <c r="AT59" s="43">
        <v>35001</v>
      </c>
      <c r="AU59" s="43">
        <v>80000</v>
      </c>
      <c r="AV59" s="48">
        <f>AU59-AT59+1</f>
        <v>45000</v>
      </c>
      <c r="AW59" s="45">
        <v>0.3</v>
      </c>
      <c r="AX59" s="44"/>
      <c r="AY59" s="50" t="e">
        <f>IF(AZ58='Serviceability Calculator'!#REF!,0,IF(('Serviceability Calculator'!#REF!-AZ58)&gt;AV59,AV59,('Serviceability Calculator'!#REF!-AZ58)))</f>
        <v>#REF!</v>
      </c>
      <c r="AZ59" s="50" t="e">
        <f>AZ58+AY59</f>
        <v>#REF!</v>
      </c>
      <c r="BA59" s="50" t="e">
        <f>AY59*AW59</f>
        <v>#REF!</v>
      </c>
      <c r="BB59" s="51"/>
      <c r="BC59" s="50" t="e">
        <f>AY59-BA59</f>
        <v>#REF!</v>
      </c>
    </row>
    <row r="60" spans="1:55" ht="13.5" hidden="1" thickBot="1">
      <c r="A60" s="43">
        <v>80001</v>
      </c>
      <c r="B60" s="43">
        <v>180000</v>
      </c>
      <c r="C60" s="48">
        <f>B60-A60+1</f>
        <v>100000</v>
      </c>
      <c r="D60" s="45">
        <v>0.38</v>
      </c>
      <c r="E60" s="44"/>
      <c r="F60" s="50" t="e">
        <f>IF(G59='Serviceability Calculator'!#REF!,0,IF(('Serviceability Calculator'!#REF!-G59)&gt;C60,C60,('Serviceability Calculator'!#REF!-G59)))</f>
        <v>#REF!</v>
      </c>
      <c r="G60" s="50" t="e">
        <f>G59+F60</f>
        <v>#REF!</v>
      </c>
      <c r="H60" s="50" t="e">
        <f>F60*D60</f>
        <v>#REF!</v>
      </c>
      <c r="I60" s="51"/>
      <c r="J60" s="50" t="e">
        <f>F60-H60</f>
        <v>#REF!</v>
      </c>
      <c r="P60" s="43">
        <v>80001</v>
      </c>
      <c r="Q60" s="43">
        <v>180000</v>
      </c>
      <c r="R60" s="48">
        <f>Q60-P60+1</f>
        <v>100000</v>
      </c>
      <c r="S60" s="45">
        <v>0.38</v>
      </c>
      <c r="T60" s="44"/>
      <c r="U60" s="50" t="e">
        <f>IF(V59='Serviceability Calculator'!#REF!,0,IF(('Serviceability Calculator'!#REF!-V59)&gt;R60,R60,('Serviceability Calculator'!#REF!-V59)))</f>
        <v>#REF!</v>
      </c>
      <c r="V60" s="50" t="e">
        <f>V59+U60</f>
        <v>#REF!</v>
      </c>
      <c r="W60" s="50" t="e">
        <f>U60*S60</f>
        <v>#REF!</v>
      </c>
      <c r="X60" s="51"/>
      <c r="Y60" s="50" t="e">
        <f>U60-W60</f>
        <v>#REF!</v>
      </c>
      <c r="AA60" s="39"/>
      <c r="AE60" s="43">
        <v>80001</v>
      </c>
      <c r="AF60" s="43">
        <v>180000</v>
      </c>
      <c r="AG60" s="48">
        <f>AF60-AE60+1</f>
        <v>100000</v>
      </c>
      <c r="AH60" s="45">
        <v>0.38</v>
      </c>
      <c r="AI60" s="44"/>
      <c r="AJ60" s="50" t="e">
        <f>IF(AK59=#REF!,0,IF((#REF!-AK59)&gt;AG60,AG60,(#REF!-AK59)))</f>
        <v>#REF!</v>
      </c>
      <c r="AK60" s="50" t="e">
        <f>AK59+AJ60</f>
        <v>#REF!</v>
      </c>
      <c r="AL60" s="50" t="e">
        <f>AJ60*AH60</f>
        <v>#REF!</v>
      </c>
      <c r="AM60" s="51"/>
      <c r="AN60" s="50" t="e">
        <f>AJ60-AL60</f>
        <v>#REF!</v>
      </c>
      <c r="AT60" s="43">
        <v>80001</v>
      </c>
      <c r="AU60" s="43">
        <v>180000</v>
      </c>
      <c r="AV60" s="48">
        <f>AU60-AT60+1</f>
        <v>100000</v>
      </c>
      <c r="AW60" s="45">
        <v>0.38</v>
      </c>
      <c r="AX60" s="44"/>
      <c r="AY60" s="50" t="e">
        <f>IF(AZ59='Serviceability Calculator'!#REF!,0,IF(('Serviceability Calculator'!#REF!-AZ59)&gt;AV60,AV60,('Serviceability Calculator'!#REF!-AZ59)))</f>
        <v>#REF!</v>
      </c>
      <c r="AZ60" s="50" t="e">
        <f>AZ59+AY60</f>
        <v>#REF!</v>
      </c>
      <c r="BA60" s="50" t="e">
        <f>AY60*AW60</f>
        <v>#REF!</v>
      </c>
      <c r="BB60" s="51"/>
      <c r="BC60" s="50" t="e">
        <f>AY60-BA60</f>
        <v>#REF!</v>
      </c>
    </row>
    <row r="61" spans="1:55" ht="13.5" hidden="1" thickBot="1">
      <c r="A61" s="43">
        <v>180001</v>
      </c>
      <c r="B61" s="43">
        <v>1000000</v>
      </c>
      <c r="C61" s="48">
        <f>B61-A61+1</f>
        <v>820000</v>
      </c>
      <c r="D61" s="45">
        <v>0.45</v>
      </c>
      <c r="E61" s="44"/>
      <c r="F61" s="50" t="e">
        <f>IF('Serviceability Calculator'!#REF!-G60&lt;=0,0,('Serviceability Calculator'!#REF!-G60))</f>
        <v>#REF!</v>
      </c>
      <c r="G61" s="50" t="e">
        <f>G60+F61</f>
        <v>#REF!</v>
      </c>
      <c r="H61" s="50" t="e">
        <f>F61*D61</f>
        <v>#REF!</v>
      </c>
      <c r="I61" s="51"/>
      <c r="J61" s="50" t="e">
        <f>F61-H61</f>
        <v>#REF!</v>
      </c>
      <c r="P61" s="43">
        <v>180001</v>
      </c>
      <c r="Q61" s="43">
        <v>1000000</v>
      </c>
      <c r="R61" s="48">
        <f>Q61-P61+1</f>
        <v>820000</v>
      </c>
      <c r="S61" s="45">
        <v>0.45</v>
      </c>
      <c r="T61" s="44"/>
      <c r="U61" s="50" t="e">
        <f>IF('Serviceability Calculator'!#REF!-V60&lt;=0,0,('Serviceability Calculator'!#REF!-V60))</f>
        <v>#REF!</v>
      </c>
      <c r="V61" s="50" t="e">
        <f>V60+U61</f>
        <v>#REF!</v>
      </c>
      <c r="W61" s="50" t="e">
        <f>U61*S61</f>
        <v>#REF!</v>
      </c>
      <c r="X61" s="51"/>
      <c r="Y61" s="50" t="e">
        <f>U61-W61</f>
        <v>#REF!</v>
      </c>
      <c r="AA61" s="39"/>
      <c r="AE61" s="43">
        <v>180001</v>
      </c>
      <c r="AF61" s="43">
        <v>1000000</v>
      </c>
      <c r="AG61" s="48">
        <f>AF61-AE61+1</f>
        <v>820000</v>
      </c>
      <c r="AH61" s="45">
        <v>0.45</v>
      </c>
      <c r="AI61" s="44"/>
      <c r="AJ61" s="50" t="e">
        <f>IF(#REF!-AK60&lt;=0,0,(#REF!-AK60))</f>
        <v>#REF!</v>
      </c>
      <c r="AK61" s="50" t="e">
        <f>AK60+AJ61</f>
        <v>#REF!</v>
      </c>
      <c r="AL61" s="50" t="e">
        <f>AJ61*AH61</f>
        <v>#REF!</v>
      </c>
      <c r="AM61" s="51"/>
      <c r="AN61" s="50" t="e">
        <f>AJ61-AL61</f>
        <v>#REF!</v>
      </c>
      <c r="AT61" s="43">
        <v>180001</v>
      </c>
      <c r="AU61" s="43">
        <v>1000000</v>
      </c>
      <c r="AV61" s="48">
        <f>AU61-AT61+1</f>
        <v>820000</v>
      </c>
      <c r="AW61" s="45">
        <v>0.45</v>
      </c>
      <c r="AX61" s="44"/>
      <c r="AY61" s="50" t="e">
        <f>IF('Serviceability Calculator'!#REF!-AZ60&lt;=0,0,('Serviceability Calculator'!#REF!-AZ60))</f>
        <v>#REF!</v>
      </c>
      <c r="AZ61" s="50" t="e">
        <f>AZ60+AY61</f>
        <v>#REF!</v>
      </c>
      <c r="BA61" s="50" t="e">
        <f>AY61*AW61</f>
        <v>#REF!</v>
      </c>
      <c r="BB61" s="51"/>
      <c r="BC61" s="50" t="e">
        <f>AY61-BA61</f>
        <v>#REF!</v>
      </c>
    </row>
    <row r="62" spans="1:55" ht="13.5" hidden="1" thickBot="1">
      <c r="A62" s="48"/>
      <c r="B62" s="48"/>
      <c r="C62" s="46"/>
      <c r="D62" s="52" t="s">
        <v>59</v>
      </c>
      <c r="E62" s="44"/>
      <c r="F62" s="50" t="e">
        <f>SUM(F57:F61)</f>
        <v>#REF!</v>
      </c>
      <c r="G62" s="50"/>
      <c r="H62" s="50" t="e">
        <f>SUM(H57:H61)</f>
        <v>#REF!</v>
      </c>
      <c r="I62" s="51"/>
      <c r="J62" s="50" t="e">
        <f>SUM(J57:J61)</f>
        <v>#REF!</v>
      </c>
      <c r="P62" s="48"/>
      <c r="Q62" s="48"/>
      <c r="R62" s="46"/>
      <c r="S62" s="52" t="s">
        <v>59</v>
      </c>
      <c r="T62" s="44"/>
      <c r="U62" s="50" t="e">
        <f>SUM(U57:U61)</f>
        <v>#REF!</v>
      </c>
      <c r="V62" s="50"/>
      <c r="W62" s="50" t="e">
        <f>SUM(W57:W61)</f>
        <v>#REF!</v>
      </c>
      <c r="X62" s="51"/>
      <c r="Y62" s="50" t="e">
        <f>SUM(Y57:Y61)</f>
        <v>#REF!</v>
      </c>
      <c r="AA62" s="39"/>
      <c r="AE62" s="48"/>
      <c r="AF62" s="48"/>
      <c r="AG62" s="46"/>
      <c r="AH62" s="52" t="s">
        <v>59</v>
      </c>
      <c r="AI62" s="44"/>
      <c r="AJ62" s="50" t="e">
        <f>SUM(AJ57:AJ61)</f>
        <v>#REF!</v>
      </c>
      <c r="AK62" s="50"/>
      <c r="AL62" s="50" t="e">
        <f>SUM(AL57:AL61)</f>
        <v>#REF!</v>
      </c>
      <c r="AM62" s="51"/>
      <c r="AN62" s="50" t="e">
        <f>SUM(AN57:AN61)</f>
        <v>#REF!</v>
      </c>
      <c r="AT62" s="48"/>
      <c r="AU62" s="48"/>
      <c r="AV62" s="46"/>
      <c r="AW62" s="52" t="s">
        <v>59</v>
      </c>
      <c r="AX62" s="44"/>
      <c r="AY62" s="50" t="e">
        <f>SUM(AY57:AY61)</f>
        <v>#REF!</v>
      </c>
      <c r="AZ62" s="50"/>
      <c r="BA62" s="50" t="e">
        <f>SUM(BA57:BA61)</f>
        <v>#REF!</v>
      </c>
      <c r="BB62" s="51"/>
      <c r="BC62" s="50" t="e">
        <f>SUM(BC57:BC61)</f>
        <v>#REF!</v>
      </c>
    </row>
    <row r="63" spans="1:55" ht="13.5" hidden="1" thickBot="1">
      <c r="A63" s="70" t="e">
        <f>F62*(1.5/100)/12</f>
        <v>#REF!</v>
      </c>
      <c r="B63" s="46" t="s">
        <v>70</v>
      </c>
      <c r="C63" s="46"/>
      <c r="E63" s="44"/>
      <c r="F63" s="43"/>
      <c r="G63" s="43"/>
      <c r="H63" s="43"/>
      <c r="I63" s="43"/>
      <c r="J63" s="43"/>
      <c r="P63" s="70" t="e">
        <f>U62*(1.5/100)/12</f>
        <v>#REF!</v>
      </c>
      <c r="Q63" s="46" t="s">
        <v>70</v>
      </c>
      <c r="R63" s="46"/>
      <c r="T63" s="44"/>
      <c r="U63" s="43"/>
      <c r="V63" s="43"/>
      <c r="W63" s="43"/>
      <c r="X63" s="43"/>
      <c r="Y63" s="43"/>
      <c r="AA63" s="39"/>
      <c r="AE63" s="70" t="e">
        <f>AJ62*(1.5/100)/12</f>
        <v>#REF!</v>
      </c>
      <c r="AF63" s="46" t="s">
        <v>70</v>
      </c>
      <c r="AG63" s="46"/>
      <c r="AI63" s="44"/>
      <c r="AJ63" s="43"/>
      <c r="AK63" s="43"/>
      <c r="AL63" s="43"/>
      <c r="AM63" s="43"/>
      <c r="AN63" s="43"/>
      <c r="AT63" s="70" t="e">
        <f>AY62*(1.5/100)/12</f>
        <v>#REF!</v>
      </c>
      <c r="AU63" s="46" t="s">
        <v>70</v>
      </c>
      <c r="AV63" s="46"/>
      <c r="AX63" s="44"/>
      <c r="AY63" s="43"/>
      <c r="AZ63" s="43"/>
      <c r="BA63" s="43"/>
      <c r="BB63" s="43"/>
      <c r="BC63" s="43"/>
    </row>
    <row r="64" spans="1:55" ht="13.5" hidden="1" thickBot="1">
      <c r="A64" s="48"/>
      <c r="B64" s="47"/>
      <c r="C64" s="46"/>
      <c r="D64" s="45"/>
      <c r="E64" s="44"/>
      <c r="F64" s="43"/>
      <c r="G64" s="43"/>
      <c r="H64" s="42" t="s">
        <v>33</v>
      </c>
      <c r="I64" s="41"/>
      <c r="J64" s="40" t="e">
        <f>(J62/12)-A63</f>
        <v>#REF!</v>
      </c>
      <c r="P64" s="48"/>
      <c r="Q64" s="47"/>
      <c r="R64" s="46"/>
      <c r="S64" s="45"/>
      <c r="T64" s="44"/>
      <c r="U64" s="43"/>
      <c r="V64" s="43"/>
      <c r="W64" s="42" t="s">
        <v>33</v>
      </c>
      <c r="X64" s="41"/>
      <c r="Y64" s="40" t="e">
        <f>(Y62/12)-P63</f>
        <v>#REF!</v>
      </c>
      <c r="AA64" s="39"/>
      <c r="AE64" s="48"/>
      <c r="AF64" s="47"/>
      <c r="AG64" s="46"/>
      <c r="AH64" s="45"/>
      <c r="AI64" s="44"/>
      <c r="AJ64" s="43"/>
      <c r="AK64" s="43"/>
      <c r="AL64" s="42" t="s">
        <v>33</v>
      </c>
      <c r="AM64" s="41"/>
      <c r="AN64" s="40" t="e">
        <f>(AN62/12)-AE63</f>
        <v>#REF!</v>
      </c>
      <c r="AT64" s="48"/>
      <c r="AU64" s="47"/>
      <c r="AV64" s="46"/>
      <c r="AW64" s="45"/>
      <c r="AX64" s="44"/>
      <c r="AY64" s="43"/>
      <c r="AZ64" s="43"/>
      <c r="BA64" s="42" t="s">
        <v>33</v>
      </c>
      <c r="BB64" s="41"/>
      <c r="BC64" s="40" t="e">
        <f>(BC62/12)-AT63</f>
        <v>#REF!</v>
      </c>
    </row>
    <row r="65" spans="1:55" hidden="1">
      <c r="A65" s="46"/>
      <c r="B65" s="46"/>
      <c r="C65" s="46"/>
      <c r="E65" s="46"/>
      <c r="F65" s="46"/>
      <c r="G65" s="46"/>
      <c r="H65" s="46"/>
      <c r="I65" s="46"/>
      <c r="J65" s="46"/>
      <c r="P65" s="46"/>
      <c r="Q65" s="46"/>
      <c r="R65" s="46"/>
      <c r="T65" s="46"/>
      <c r="U65" s="46"/>
      <c r="V65" s="46"/>
      <c r="W65" s="46"/>
      <c r="X65" s="46"/>
      <c r="Y65" s="46"/>
      <c r="AA65" s="39"/>
      <c r="AE65" s="46"/>
      <c r="AF65" s="46"/>
      <c r="AG65" s="46"/>
      <c r="AI65" s="46"/>
      <c r="AJ65" s="46"/>
      <c r="AK65" s="46"/>
      <c r="AL65" s="46"/>
      <c r="AM65" s="46"/>
      <c r="AN65" s="46"/>
      <c r="AT65" s="46"/>
      <c r="AU65" s="46"/>
      <c r="AV65" s="46"/>
      <c r="AX65" s="46"/>
      <c r="AY65" s="46"/>
      <c r="AZ65" s="46"/>
      <c r="BA65" s="46"/>
      <c r="BB65" s="46"/>
      <c r="BC65" s="46"/>
    </row>
    <row r="66" spans="1:55" hidden="1">
      <c r="A66" s="90" t="s">
        <v>81</v>
      </c>
      <c r="B66" s="90"/>
      <c r="C66" s="90"/>
      <c r="D66" s="90"/>
      <c r="E66" s="90"/>
      <c r="F66" s="90"/>
      <c r="G66" s="90"/>
      <c r="H66" s="91"/>
      <c r="I66" s="91"/>
      <c r="J66" s="91"/>
      <c r="P66" s="90" t="s">
        <v>81</v>
      </c>
      <c r="Q66" s="90"/>
      <c r="R66" s="90"/>
      <c r="S66" s="90"/>
      <c r="T66" s="90"/>
      <c r="U66" s="90"/>
      <c r="V66" s="90"/>
      <c r="W66" s="91"/>
      <c r="X66" s="91"/>
      <c r="Y66" s="91"/>
      <c r="AA66" s="39"/>
      <c r="AE66" s="90" t="s">
        <v>81</v>
      </c>
      <c r="AF66" s="90"/>
      <c r="AG66" s="90"/>
      <c r="AH66" s="90"/>
      <c r="AI66" s="90"/>
      <c r="AJ66" s="90"/>
      <c r="AK66" s="90"/>
      <c r="AL66" s="91"/>
      <c r="AM66" s="91"/>
      <c r="AN66" s="91"/>
      <c r="AT66" s="90" t="s">
        <v>81</v>
      </c>
      <c r="AU66" s="90"/>
      <c r="AV66" s="90"/>
      <c r="AW66" s="90"/>
      <c r="AX66" s="90"/>
      <c r="AY66" s="90"/>
      <c r="AZ66" s="90"/>
      <c r="BA66" s="91"/>
      <c r="BB66" s="91"/>
      <c r="BC66" s="91"/>
    </row>
    <row r="67" spans="1:55" ht="13.5" hidden="1" thickBot="1">
      <c r="A67" s="57" t="s">
        <v>64</v>
      </c>
      <c r="B67" s="57"/>
      <c r="C67" s="46"/>
      <c r="D67" s="57" t="s">
        <v>63</v>
      </c>
      <c r="E67" s="46"/>
      <c r="F67" s="56" t="s">
        <v>62</v>
      </c>
      <c r="G67" s="56"/>
      <c r="H67" s="56" t="s">
        <v>61</v>
      </c>
      <c r="I67" s="56"/>
      <c r="J67" s="56" t="s">
        <v>60</v>
      </c>
      <c r="P67" s="57" t="s">
        <v>64</v>
      </c>
      <c r="Q67" s="57"/>
      <c r="R67" s="46"/>
      <c r="S67" s="57" t="s">
        <v>63</v>
      </c>
      <c r="T67" s="46"/>
      <c r="U67" s="56" t="s">
        <v>62</v>
      </c>
      <c r="V67" s="56"/>
      <c r="W67" s="56" t="s">
        <v>61</v>
      </c>
      <c r="X67" s="56"/>
      <c r="Y67" s="56" t="s">
        <v>60</v>
      </c>
      <c r="AA67" s="39"/>
      <c r="AE67" s="57" t="s">
        <v>64</v>
      </c>
      <c r="AF67" s="57"/>
      <c r="AG67" s="46"/>
      <c r="AH67" s="57" t="s">
        <v>63</v>
      </c>
      <c r="AI67" s="46"/>
      <c r="AJ67" s="56" t="s">
        <v>62</v>
      </c>
      <c r="AK67" s="56"/>
      <c r="AL67" s="56" t="s">
        <v>61</v>
      </c>
      <c r="AM67" s="56"/>
      <c r="AN67" s="56" t="s">
        <v>60</v>
      </c>
      <c r="AT67" s="57" t="s">
        <v>64</v>
      </c>
      <c r="AU67" s="57"/>
      <c r="AV67" s="46"/>
      <c r="AW67" s="57" t="s">
        <v>63</v>
      </c>
      <c r="AX67" s="46"/>
      <c r="AY67" s="56" t="s">
        <v>62</v>
      </c>
      <c r="AZ67" s="56"/>
      <c r="BA67" s="56" t="s">
        <v>61</v>
      </c>
      <c r="BB67" s="56"/>
      <c r="BC67" s="56" t="s">
        <v>60</v>
      </c>
    </row>
    <row r="68" spans="1:55" ht="13.5" hidden="1" thickBot="1">
      <c r="A68" s="43">
        <v>1</v>
      </c>
      <c r="B68" s="43">
        <v>6000</v>
      </c>
      <c r="C68" s="48">
        <f>B68-A68+1</f>
        <v>6000</v>
      </c>
      <c r="D68" s="45">
        <v>0</v>
      </c>
      <c r="E68" s="44"/>
      <c r="F68" s="50" t="e">
        <f>IF('Serviceability Calculator'!#REF!&lt;B68,'Serviceability Calculator'!#REF!,C68)</f>
        <v>#REF!</v>
      </c>
      <c r="G68" s="50" t="e">
        <f>F68</f>
        <v>#REF!</v>
      </c>
      <c r="H68" s="50" t="e">
        <f>F68*D68</f>
        <v>#REF!</v>
      </c>
      <c r="I68" s="51"/>
      <c r="J68" s="50" t="e">
        <f>F68-H68</f>
        <v>#REF!</v>
      </c>
      <c r="P68" s="43">
        <v>1</v>
      </c>
      <c r="Q68" s="43">
        <v>6000</v>
      </c>
      <c r="R68" s="48">
        <f>Q68-P68+1</f>
        <v>6000</v>
      </c>
      <c r="S68" s="45">
        <v>0</v>
      </c>
      <c r="T68" s="44"/>
      <c r="U68" s="50" t="e">
        <f>IF('Serviceability Calculator'!#REF!&lt;Q68,'Serviceability Calculator'!#REF!,R68)</f>
        <v>#REF!</v>
      </c>
      <c r="V68" s="50" t="e">
        <f>U68</f>
        <v>#REF!</v>
      </c>
      <c r="W68" s="50" t="e">
        <f>U68*S68</f>
        <v>#REF!</v>
      </c>
      <c r="X68" s="51"/>
      <c r="Y68" s="50" t="e">
        <f>U68-W68</f>
        <v>#REF!</v>
      </c>
      <c r="AA68" s="39"/>
      <c r="AE68" s="43">
        <v>1</v>
      </c>
      <c r="AF68" s="43">
        <v>6000</v>
      </c>
      <c r="AG68" s="48">
        <f>AF68-AE68+1</f>
        <v>6000</v>
      </c>
      <c r="AH68" s="45">
        <v>0</v>
      </c>
      <c r="AI68" s="44"/>
      <c r="AJ68" s="50" t="e">
        <f>IF(#REF!&lt;AF68,#REF!,AG68)</f>
        <v>#REF!</v>
      </c>
      <c r="AK68" s="50" t="e">
        <f>AJ68</f>
        <v>#REF!</v>
      </c>
      <c r="AL68" s="50" t="e">
        <f>AJ68*AH68</f>
        <v>#REF!</v>
      </c>
      <c r="AM68" s="51"/>
      <c r="AN68" s="50" t="e">
        <f>AJ68-AL68</f>
        <v>#REF!</v>
      </c>
      <c r="AT68" s="43">
        <v>1</v>
      </c>
      <c r="AU68" s="43">
        <v>6000</v>
      </c>
      <c r="AV68" s="48">
        <f>AU68-AT68+1</f>
        <v>6000</v>
      </c>
      <c r="AW68" s="45">
        <v>0</v>
      </c>
      <c r="AX68" s="44"/>
      <c r="AY68" s="50" t="e">
        <f>IF('Serviceability Calculator'!#REF!&lt;AU68,'Serviceability Calculator'!#REF!,AV68)</f>
        <v>#REF!</v>
      </c>
      <c r="AZ68" s="50" t="e">
        <f>AY68</f>
        <v>#REF!</v>
      </c>
      <c r="BA68" s="50" t="e">
        <f>AY68*AW68</f>
        <v>#REF!</v>
      </c>
      <c r="BB68" s="51"/>
      <c r="BC68" s="50" t="e">
        <f>AY68-BA68</f>
        <v>#REF!</v>
      </c>
    </row>
    <row r="69" spans="1:55" ht="13.5" hidden="1" thickBot="1">
      <c r="A69" s="43">
        <v>6001</v>
      </c>
      <c r="B69" s="43">
        <v>35000</v>
      </c>
      <c r="C69" s="48">
        <f>B69-A69+1</f>
        <v>29000</v>
      </c>
      <c r="D69" s="45">
        <v>0.15</v>
      </c>
      <c r="E69" s="44"/>
      <c r="F69" s="50" t="e">
        <f>IF(G68='Serviceability Calculator'!#REF!,0,IF(('Serviceability Calculator'!#REF!-G68)&gt;C69,C69,('Serviceability Calculator'!#REF!-G68)))</f>
        <v>#REF!</v>
      </c>
      <c r="G69" s="50" t="e">
        <f>G68+F69</f>
        <v>#REF!</v>
      </c>
      <c r="H69" s="50" t="e">
        <f>F69*D69</f>
        <v>#REF!</v>
      </c>
      <c r="I69" s="51"/>
      <c r="J69" s="50" t="e">
        <f>F69-H69</f>
        <v>#REF!</v>
      </c>
      <c r="P69" s="43">
        <v>6001</v>
      </c>
      <c r="Q69" s="43">
        <v>35000</v>
      </c>
      <c r="R69" s="48">
        <f>Q69-P69+1</f>
        <v>29000</v>
      </c>
      <c r="S69" s="45">
        <v>0.15</v>
      </c>
      <c r="T69" s="44"/>
      <c r="U69" s="50" t="e">
        <f>IF(V68='Serviceability Calculator'!#REF!,0,IF(('Serviceability Calculator'!#REF!-V68)&gt;R69,R69,('Serviceability Calculator'!#REF!-V68)))</f>
        <v>#REF!</v>
      </c>
      <c r="V69" s="50" t="e">
        <f>V68+U69</f>
        <v>#REF!</v>
      </c>
      <c r="W69" s="50" t="e">
        <f>U69*S69</f>
        <v>#REF!</v>
      </c>
      <c r="X69" s="51"/>
      <c r="Y69" s="50" t="e">
        <f>U69-W69</f>
        <v>#REF!</v>
      </c>
      <c r="AA69" s="39"/>
      <c r="AE69" s="43">
        <v>6001</v>
      </c>
      <c r="AF69" s="43">
        <v>35000</v>
      </c>
      <c r="AG69" s="48">
        <f>AF69-AE69+1</f>
        <v>29000</v>
      </c>
      <c r="AH69" s="45">
        <v>0.15</v>
      </c>
      <c r="AI69" s="44"/>
      <c r="AJ69" s="50" t="e">
        <f>IF(AK68=#REF!,0,IF((#REF!-AK68)&gt;AG69,AG69,(#REF!-AK68)))</f>
        <v>#REF!</v>
      </c>
      <c r="AK69" s="50" t="e">
        <f>AK68+AJ69</f>
        <v>#REF!</v>
      </c>
      <c r="AL69" s="50" t="e">
        <f>AJ69*AH69</f>
        <v>#REF!</v>
      </c>
      <c r="AM69" s="51"/>
      <c r="AN69" s="50" t="e">
        <f>AJ69-AL69</f>
        <v>#REF!</v>
      </c>
      <c r="AT69" s="43">
        <v>6001</v>
      </c>
      <c r="AU69" s="43">
        <v>35000</v>
      </c>
      <c r="AV69" s="48">
        <f>AU69-AT69+1</f>
        <v>29000</v>
      </c>
      <c r="AW69" s="45">
        <v>0.15</v>
      </c>
      <c r="AX69" s="44"/>
      <c r="AY69" s="50" t="e">
        <f>IF(AZ68='Serviceability Calculator'!#REF!,0,IF(('Serviceability Calculator'!#REF!-AZ68)&gt;AV69,AV69,('Serviceability Calculator'!#REF!-AZ68)))</f>
        <v>#REF!</v>
      </c>
      <c r="AZ69" s="50" t="e">
        <f>AZ68+AY69</f>
        <v>#REF!</v>
      </c>
      <c r="BA69" s="50" t="e">
        <f>AY69*AW69</f>
        <v>#REF!</v>
      </c>
      <c r="BB69" s="51"/>
      <c r="BC69" s="50" t="e">
        <f>AY69-BA69</f>
        <v>#REF!</v>
      </c>
    </row>
    <row r="70" spans="1:55" ht="13.5" hidden="1" thickBot="1">
      <c r="A70" s="43">
        <v>35001</v>
      </c>
      <c r="B70" s="43">
        <v>80000</v>
      </c>
      <c r="C70" s="48">
        <f>B70-A70+1</f>
        <v>45000</v>
      </c>
      <c r="D70" s="45">
        <v>0.3</v>
      </c>
      <c r="E70" s="44"/>
      <c r="F70" s="50" t="e">
        <f>IF(G69='Serviceability Calculator'!#REF!,0,IF(('Serviceability Calculator'!#REF!-G69)&gt;C70,C70,('Serviceability Calculator'!#REF!-G69)))</f>
        <v>#REF!</v>
      </c>
      <c r="G70" s="50" t="e">
        <f>G69+F70</f>
        <v>#REF!</v>
      </c>
      <c r="H70" s="50" t="e">
        <f>F70*D70</f>
        <v>#REF!</v>
      </c>
      <c r="I70" s="51"/>
      <c r="J70" s="50" t="e">
        <f>F70-H70</f>
        <v>#REF!</v>
      </c>
      <c r="P70" s="43">
        <v>35001</v>
      </c>
      <c r="Q70" s="43">
        <v>80000</v>
      </c>
      <c r="R70" s="48">
        <f>Q70-P70+1</f>
        <v>45000</v>
      </c>
      <c r="S70" s="45">
        <v>0.3</v>
      </c>
      <c r="T70" s="44"/>
      <c r="U70" s="50" t="e">
        <f>IF(V69='Serviceability Calculator'!#REF!,0,IF(('Serviceability Calculator'!#REF!-V69)&gt;R70,R70,('Serviceability Calculator'!#REF!-V69)))</f>
        <v>#REF!</v>
      </c>
      <c r="V70" s="50" t="e">
        <f>V69+U70</f>
        <v>#REF!</v>
      </c>
      <c r="W70" s="50" t="e">
        <f>U70*S70</f>
        <v>#REF!</v>
      </c>
      <c r="X70" s="51"/>
      <c r="Y70" s="50" t="e">
        <f>U70-W70</f>
        <v>#REF!</v>
      </c>
      <c r="AA70" s="39"/>
      <c r="AE70" s="43">
        <v>35001</v>
      </c>
      <c r="AF70" s="43">
        <v>80000</v>
      </c>
      <c r="AG70" s="48">
        <f>AF70-AE70+1</f>
        <v>45000</v>
      </c>
      <c r="AH70" s="45">
        <v>0.3</v>
      </c>
      <c r="AI70" s="44"/>
      <c r="AJ70" s="50" t="e">
        <f>IF(AK69=#REF!,0,IF((#REF!-AK69)&gt;AG70,AG70,(#REF!-AK69)))</f>
        <v>#REF!</v>
      </c>
      <c r="AK70" s="50" t="e">
        <f>AK69+AJ70</f>
        <v>#REF!</v>
      </c>
      <c r="AL70" s="50" t="e">
        <f>AJ70*AH70</f>
        <v>#REF!</v>
      </c>
      <c r="AM70" s="51"/>
      <c r="AN70" s="50" t="e">
        <f>AJ70-AL70</f>
        <v>#REF!</v>
      </c>
      <c r="AT70" s="43">
        <v>35001</v>
      </c>
      <c r="AU70" s="43">
        <v>80000</v>
      </c>
      <c r="AV70" s="48">
        <f>AU70-AT70+1</f>
        <v>45000</v>
      </c>
      <c r="AW70" s="45">
        <v>0.3</v>
      </c>
      <c r="AX70" s="44"/>
      <c r="AY70" s="50" t="e">
        <f>IF(AZ69='Serviceability Calculator'!#REF!,0,IF(('Serviceability Calculator'!#REF!-AZ69)&gt;AV70,AV70,('Serviceability Calculator'!#REF!-AZ69)))</f>
        <v>#REF!</v>
      </c>
      <c r="AZ70" s="50" t="e">
        <f>AZ69+AY70</f>
        <v>#REF!</v>
      </c>
      <c r="BA70" s="50" t="e">
        <f>AY70*AW70</f>
        <v>#REF!</v>
      </c>
      <c r="BB70" s="51"/>
      <c r="BC70" s="50" t="e">
        <f>AY70-BA70</f>
        <v>#REF!</v>
      </c>
    </row>
    <row r="71" spans="1:55" ht="13.5" hidden="1" thickBot="1">
      <c r="A71" s="43">
        <v>80001</v>
      </c>
      <c r="B71" s="43">
        <v>180000</v>
      </c>
      <c r="C71" s="48">
        <f>B71-A71+1</f>
        <v>100000</v>
      </c>
      <c r="D71" s="45">
        <v>0.38</v>
      </c>
      <c r="E71" s="44"/>
      <c r="F71" s="50" t="e">
        <f>IF(G70='Serviceability Calculator'!#REF!,0,IF(('Serviceability Calculator'!#REF!-G70)&gt;C71,C71,('Serviceability Calculator'!#REF!-G70)))</f>
        <v>#REF!</v>
      </c>
      <c r="G71" s="50" t="e">
        <f>G70+F71</f>
        <v>#REF!</v>
      </c>
      <c r="H71" s="50" t="e">
        <f>F71*D71</f>
        <v>#REF!</v>
      </c>
      <c r="I71" s="51"/>
      <c r="J71" s="50" t="e">
        <f>F71-H71</f>
        <v>#REF!</v>
      </c>
      <c r="P71" s="43">
        <v>80001</v>
      </c>
      <c r="Q71" s="43">
        <v>180000</v>
      </c>
      <c r="R71" s="48">
        <f>Q71-P71+1</f>
        <v>100000</v>
      </c>
      <c r="S71" s="45">
        <v>0.38</v>
      </c>
      <c r="T71" s="44"/>
      <c r="U71" s="50" t="e">
        <f>IF(V70='Serviceability Calculator'!#REF!,0,IF(('Serviceability Calculator'!#REF!-V70)&gt;R71,R71,('Serviceability Calculator'!#REF!-V70)))</f>
        <v>#REF!</v>
      </c>
      <c r="V71" s="50" t="e">
        <f>V70+U71</f>
        <v>#REF!</v>
      </c>
      <c r="W71" s="50" t="e">
        <f>U71*S71</f>
        <v>#REF!</v>
      </c>
      <c r="X71" s="51"/>
      <c r="Y71" s="50" t="e">
        <f>U71-W71</f>
        <v>#REF!</v>
      </c>
      <c r="AA71" s="39"/>
      <c r="AE71" s="43">
        <v>80001</v>
      </c>
      <c r="AF71" s="43">
        <v>180000</v>
      </c>
      <c r="AG71" s="48">
        <f>AF71-AE71+1</f>
        <v>100000</v>
      </c>
      <c r="AH71" s="45">
        <v>0.38</v>
      </c>
      <c r="AI71" s="44"/>
      <c r="AJ71" s="50" t="e">
        <f>IF(AK70=#REF!,0,IF((#REF!-AK70)&gt;AG71,AG71,(#REF!-AK70)))</f>
        <v>#REF!</v>
      </c>
      <c r="AK71" s="50" t="e">
        <f>AK70+AJ71</f>
        <v>#REF!</v>
      </c>
      <c r="AL71" s="50" t="e">
        <f>AJ71*AH71</f>
        <v>#REF!</v>
      </c>
      <c r="AM71" s="51"/>
      <c r="AN71" s="50" t="e">
        <f>AJ71-AL71</f>
        <v>#REF!</v>
      </c>
      <c r="AT71" s="43">
        <v>80001</v>
      </c>
      <c r="AU71" s="43">
        <v>180000</v>
      </c>
      <c r="AV71" s="48">
        <f>AU71-AT71+1</f>
        <v>100000</v>
      </c>
      <c r="AW71" s="45">
        <v>0.38</v>
      </c>
      <c r="AX71" s="44"/>
      <c r="AY71" s="50" t="e">
        <f>IF(AZ70='Serviceability Calculator'!#REF!,0,IF(('Serviceability Calculator'!#REF!-AZ70)&gt;AV71,AV71,('Serviceability Calculator'!#REF!-AZ70)))</f>
        <v>#REF!</v>
      </c>
      <c r="AZ71" s="50" t="e">
        <f>AZ70+AY71</f>
        <v>#REF!</v>
      </c>
      <c r="BA71" s="50" t="e">
        <f>AY71*AW71</f>
        <v>#REF!</v>
      </c>
      <c r="BB71" s="51"/>
      <c r="BC71" s="50" t="e">
        <f>AY71-BA71</f>
        <v>#REF!</v>
      </c>
    </row>
    <row r="72" spans="1:55" ht="13.5" hidden="1" thickBot="1">
      <c r="A72" s="43">
        <v>180001</v>
      </c>
      <c r="B72" s="43">
        <v>1000000</v>
      </c>
      <c r="C72" s="48">
        <f>B72-A72+1</f>
        <v>820000</v>
      </c>
      <c r="D72" s="45">
        <v>0.45</v>
      </c>
      <c r="E72" s="44"/>
      <c r="F72" s="50" t="e">
        <f>IF('Serviceability Calculator'!#REF!-G71&lt;=0,0,('Serviceability Calculator'!#REF!-G71))</f>
        <v>#REF!</v>
      </c>
      <c r="G72" s="50" t="e">
        <f>G71+F72</f>
        <v>#REF!</v>
      </c>
      <c r="H72" s="50" t="e">
        <f>F72*D72</f>
        <v>#REF!</v>
      </c>
      <c r="I72" s="51"/>
      <c r="J72" s="50" t="e">
        <f>F72-H72</f>
        <v>#REF!</v>
      </c>
      <c r="P72" s="43">
        <v>180001</v>
      </c>
      <c r="Q72" s="43">
        <v>1000000</v>
      </c>
      <c r="R72" s="48">
        <f>Q72-P72+1</f>
        <v>820000</v>
      </c>
      <c r="S72" s="45">
        <v>0.45</v>
      </c>
      <c r="T72" s="44"/>
      <c r="U72" s="50" t="e">
        <f>IF('Serviceability Calculator'!#REF!-V71&lt;=0,0,('Serviceability Calculator'!#REF!-V71))</f>
        <v>#REF!</v>
      </c>
      <c r="V72" s="50" t="e">
        <f>V71+U72</f>
        <v>#REF!</v>
      </c>
      <c r="W72" s="50" t="e">
        <f>U72*S72</f>
        <v>#REF!</v>
      </c>
      <c r="X72" s="51"/>
      <c r="Y72" s="50" t="e">
        <f>U72-W72</f>
        <v>#REF!</v>
      </c>
      <c r="AA72" s="39"/>
      <c r="AE72" s="43">
        <v>180001</v>
      </c>
      <c r="AF72" s="43">
        <v>1000000</v>
      </c>
      <c r="AG72" s="48">
        <f>AF72-AE72+1</f>
        <v>820000</v>
      </c>
      <c r="AH72" s="45">
        <v>0.45</v>
      </c>
      <c r="AI72" s="44"/>
      <c r="AJ72" s="50" t="e">
        <f>IF(#REF!-AK71&lt;=0,0,(#REF!-AK71))</f>
        <v>#REF!</v>
      </c>
      <c r="AK72" s="50" t="e">
        <f>AK71+AJ72</f>
        <v>#REF!</v>
      </c>
      <c r="AL72" s="50" t="e">
        <f>AJ72*AH72</f>
        <v>#REF!</v>
      </c>
      <c r="AM72" s="51"/>
      <c r="AN72" s="50" t="e">
        <f>AJ72-AL72</f>
        <v>#REF!</v>
      </c>
      <c r="AT72" s="43">
        <v>180001</v>
      </c>
      <c r="AU72" s="43">
        <v>1000000</v>
      </c>
      <c r="AV72" s="48">
        <f>AU72-AT72+1</f>
        <v>820000</v>
      </c>
      <c r="AW72" s="45">
        <v>0.45</v>
      </c>
      <c r="AX72" s="44"/>
      <c r="AY72" s="50" t="e">
        <f>IF('Serviceability Calculator'!#REF!-AZ71&lt;=0,0,('Serviceability Calculator'!#REF!-AZ71))</f>
        <v>#REF!</v>
      </c>
      <c r="AZ72" s="50" t="e">
        <f>AZ71+AY72</f>
        <v>#REF!</v>
      </c>
      <c r="BA72" s="50" t="e">
        <f>AY72*AW72</f>
        <v>#REF!</v>
      </c>
      <c r="BB72" s="51"/>
      <c r="BC72" s="50" t="e">
        <f>AY72-BA72</f>
        <v>#REF!</v>
      </c>
    </row>
    <row r="73" spans="1:55" ht="13.5" hidden="1" thickBot="1">
      <c r="A73" s="48"/>
      <c r="B73" s="48"/>
      <c r="C73" s="46"/>
      <c r="D73" s="52" t="s">
        <v>59</v>
      </c>
      <c r="E73" s="44"/>
      <c r="F73" s="50" t="e">
        <f>SUM(F68:F72)</f>
        <v>#REF!</v>
      </c>
      <c r="G73" s="50"/>
      <c r="H73" s="50" t="e">
        <f>SUM(H68:H72)</f>
        <v>#REF!</v>
      </c>
      <c r="I73" s="51"/>
      <c r="J73" s="50" t="e">
        <f>SUM(J68:J72)</f>
        <v>#REF!</v>
      </c>
      <c r="P73" s="48"/>
      <c r="Q73" s="48"/>
      <c r="R73" s="46"/>
      <c r="S73" s="52" t="s">
        <v>59</v>
      </c>
      <c r="T73" s="44"/>
      <c r="U73" s="50" t="e">
        <f>SUM(U68:U72)</f>
        <v>#REF!</v>
      </c>
      <c r="V73" s="50"/>
      <c r="W73" s="50" t="e">
        <f>SUM(W68:W72)</f>
        <v>#REF!</v>
      </c>
      <c r="X73" s="51"/>
      <c r="Y73" s="50" t="e">
        <f>SUM(Y68:Y72)</f>
        <v>#REF!</v>
      </c>
      <c r="AA73" s="39"/>
      <c r="AE73" s="48"/>
      <c r="AF73" s="48"/>
      <c r="AG73" s="46"/>
      <c r="AH73" s="52" t="s">
        <v>59</v>
      </c>
      <c r="AI73" s="44"/>
      <c r="AJ73" s="50" t="e">
        <f>SUM(AJ68:AJ72)</f>
        <v>#REF!</v>
      </c>
      <c r="AK73" s="50"/>
      <c r="AL73" s="50" t="e">
        <f>SUM(AL68:AL72)</f>
        <v>#REF!</v>
      </c>
      <c r="AM73" s="51"/>
      <c r="AN73" s="50" t="e">
        <f>SUM(AN68:AN72)</f>
        <v>#REF!</v>
      </c>
      <c r="AT73" s="48"/>
      <c r="AU73" s="48"/>
      <c r="AV73" s="46"/>
      <c r="AW73" s="52" t="s">
        <v>59</v>
      </c>
      <c r="AX73" s="44"/>
      <c r="AY73" s="50" t="e">
        <f>SUM(AY68:AY72)</f>
        <v>#REF!</v>
      </c>
      <c r="AZ73" s="50"/>
      <c r="BA73" s="50" t="e">
        <f>SUM(BA68:BA72)</f>
        <v>#REF!</v>
      </c>
      <c r="BB73" s="51"/>
      <c r="BC73" s="50" t="e">
        <f>SUM(BC68:BC72)</f>
        <v>#REF!</v>
      </c>
    </row>
    <row r="74" spans="1:55" ht="13.5" hidden="1" thickBot="1">
      <c r="A74" s="70" t="e">
        <f>F73*(1.5/100)/12</f>
        <v>#REF!</v>
      </c>
      <c r="B74" s="46" t="s">
        <v>70</v>
      </c>
      <c r="C74" s="46"/>
      <c r="E74" s="44"/>
      <c r="F74" s="43"/>
      <c r="G74" s="43"/>
      <c r="H74" s="43"/>
      <c r="I74" s="43"/>
      <c r="J74" s="43"/>
      <c r="P74" s="70" t="e">
        <f>U73*(1.5/100)/12</f>
        <v>#REF!</v>
      </c>
      <c r="Q74" s="46" t="s">
        <v>70</v>
      </c>
      <c r="R74" s="46"/>
      <c r="T74" s="44"/>
      <c r="U74" s="43"/>
      <c r="V74" s="43"/>
      <c r="W74" s="43"/>
      <c r="X74" s="43"/>
      <c r="Y74" s="43"/>
      <c r="AA74" s="39"/>
      <c r="AE74" s="70" t="e">
        <f>AJ73*(1.5/100)/12</f>
        <v>#REF!</v>
      </c>
      <c r="AF74" s="46" t="s">
        <v>70</v>
      </c>
      <c r="AG74" s="46"/>
      <c r="AI74" s="44"/>
      <c r="AJ74" s="43"/>
      <c r="AK74" s="43"/>
      <c r="AL74" s="43"/>
      <c r="AM74" s="43"/>
      <c r="AN74" s="43"/>
      <c r="AT74" s="70" t="e">
        <f>AY73*(1.5/100)/12</f>
        <v>#REF!</v>
      </c>
      <c r="AU74" s="46" t="s">
        <v>70</v>
      </c>
      <c r="AV74" s="46"/>
      <c r="AX74" s="44"/>
      <c r="AY74" s="43"/>
      <c r="AZ74" s="43"/>
      <c r="BA74" s="43"/>
      <c r="BB74" s="43"/>
      <c r="BC74" s="43"/>
    </row>
    <row r="75" spans="1:55" ht="13.5" hidden="1" thickBot="1">
      <c r="A75" s="48"/>
      <c r="B75" s="47"/>
      <c r="C75" s="46"/>
      <c r="D75" s="45"/>
      <c r="E75" s="44"/>
      <c r="F75" s="43"/>
      <c r="G75" s="43"/>
      <c r="H75" s="42" t="s">
        <v>33</v>
      </c>
      <c r="I75" s="41"/>
      <c r="J75" s="40" t="e">
        <f>(J73/12)-A74</f>
        <v>#REF!</v>
      </c>
      <c r="P75" s="48"/>
      <c r="Q75" s="47"/>
      <c r="R75" s="46"/>
      <c r="S75" s="45"/>
      <c r="T75" s="44"/>
      <c r="U75" s="43"/>
      <c r="V75" s="43"/>
      <c r="W75" s="42" t="s">
        <v>33</v>
      </c>
      <c r="X75" s="41"/>
      <c r="Y75" s="40" t="e">
        <f>(Y73/12)-P74</f>
        <v>#REF!</v>
      </c>
      <c r="AA75" s="39"/>
      <c r="AE75" s="48"/>
      <c r="AF75" s="47"/>
      <c r="AG75" s="46"/>
      <c r="AH75" s="45"/>
      <c r="AI75" s="44"/>
      <c r="AJ75" s="43"/>
      <c r="AK75" s="43"/>
      <c r="AL75" s="42" t="s">
        <v>33</v>
      </c>
      <c r="AM75" s="41"/>
      <c r="AN75" s="40" t="e">
        <f>(AN73/12)-AE74</f>
        <v>#REF!</v>
      </c>
      <c r="AT75" s="48"/>
      <c r="AU75" s="47"/>
      <c r="AV75" s="46"/>
      <c r="AW75" s="45"/>
      <c r="AX75" s="44"/>
      <c r="AY75" s="43"/>
      <c r="AZ75" s="43"/>
      <c r="BA75" s="42" t="s">
        <v>33</v>
      </c>
      <c r="BB75" s="41"/>
      <c r="BC75" s="40" t="e">
        <f>(BC73/12)-AT74</f>
        <v>#REF!</v>
      </c>
    </row>
    <row r="76" spans="1:55" hidden="1">
      <c r="A76" s="46"/>
      <c r="B76" s="46"/>
      <c r="C76" s="46"/>
      <c r="E76" s="46"/>
      <c r="F76" s="46"/>
      <c r="G76" s="46"/>
      <c r="H76" s="46"/>
      <c r="I76" s="46"/>
      <c r="J76" s="46"/>
      <c r="P76" s="46"/>
      <c r="Q76" s="46"/>
      <c r="R76" s="46"/>
      <c r="T76" s="46"/>
      <c r="U76" s="46"/>
      <c r="V76" s="46"/>
      <c r="W76" s="46"/>
      <c r="X76" s="46"/>
      <c r="Y76" s="46"/>
      <c r="AA76" s="39"/>
      <c r="AE76" s="46"/>
      <c r="AF76" s="46"/>
      <c r="AG76" s="46"/>
      <c r="AI76" s="46"/>
      <c r="AJ76" s="46"/>
      <c r="AK76" s="46"/>
      <c r="AL76" s="46"/>
      <c r="AM76" s="46"/>
      <c r="AN76" s="46"/>
      <c r="AT76" s="46"/>
      <c r="AU76" s="46"/>
      <c r="AV76" s="46"/>
      <c r="AX76" s="46"/>
      <c r="AY76" s="46"/>
      <c r="AZ76" s="46"/>
      <c r="BA76" s="46"/>
      <c r="BB76" s="46"/>
      <c r="BC76" s="46"/>
    </row>
    <row r="77" spans="1:55">
      <c r="A77" s="46"/>
      <c r="B77" s="46"/>
      <c r="C77" s="46"/>
      <c r="E77" s="46"/>
      <c r="F77" s="46"/>
      <c r="G77" s="46"/>
      <c r="H77" s="46"/>
      <c r="I77" s="46"/>
      <c r="J77" s="46"/>
      <c r="P77" s="46"/>
      <c r="Q77" s="46"/>
      <c r="R77" s="46"/>
      <c r="T77" s="46"/>
      <c r="U77" s="46"/>
      <c r="V77" s="46"/>
      <c r="W77" s="46"/>
      <c r="X77" s="46"/>
      <c r="Y77" s="46"/>
      <c r="AA77" s="39"/>
      <c r="AE77" s="46"/>
      <c r="AF77" s="46"/>
      <c r="AG77" s="46"/>
      <c r="AI77" s="46"/>
      <c r="AJ77" s="46"/>
      <c r="AK77" s="46"/>
      <c r="AL77" s="46"/>
      <c r="AM77" s="46"/>
      <c r="AN77" s="46"/>
      <c r="AT77" s="46"/>
      <c r="AU77" s="46"/>
      <c r="AV77" s="46"/>
      <c r="AX77" s="46"/>
      <c r="AY77" s="46"/>
      <c r="AZ77" s="46"/>
      <c r="BA77" s="46"/>
      <c r="BB77" s="46"/>
      <c r="BC77" s="46"/>
    </row>
    <row r="78" spans="1:55">
      <c r="A78" s="90" t="s">
        <v>80</v>
      </c>
      <c r="B78" s="90"/>
      <c r="C78" s="90"/>
      <c r="D78" s="90"/>
      <c r="E78" s="90"/>
      <c r="F78" s="90"/>
      <c r="G78" s="90"/>
      <c r="H78" s="91"/>
      <c r="I78" s="91"/>
      <c r="J78" s="91"/>
      <c r="P78" s="90" t="s">
        <v>82</v>
      </c>
      <c r="Q78" s="90"/>
      <c r="R78" s="90"/>
      <c r="S78" s="90"/>
      <c r="T78" s="90"/>
      <c r="U78" s="90"/>
      <c r="V78" s="90"/>
      <c r="W78" s="91"/>
      <c r="X78" s="91"/>
      <c r="Y78" s="91"/>
      <c r="AA78" s="39"/>
      <c r="AE78" s="90" t="s">
        <v>80</v>
      </c>
      <c r="AF78" s="90"/>
      <c r="AG78" s="90"/>
      <c r="AH78" s="90"/>
      <c r="AI78" s="90"/>
      <c r="AJ78" s="90"/>
      <c r="AK78" s="90"/>
      <c r="AL78" s="91"/>
      <c r="AM78" s="91"/>
      <c r="AN78" s="91"/>
    </row>
    <row r="79" spans="1:55" ht="13.5" thickBot="1">
      <c r="A79" s="57" t="s">
        <v>64</v>
      </c>
      <c r="B79" s="57"/>
      <c r="C79" s="46"/>
      <c r="D79" s="57" t="s">
        <v>63</v>
      </c>
      <c r="E79" s="46"/>
      <c r="F79" s="56" t="s">
        <v>62</v>
      </c>
      <c r="G79" s="56"/>
      <c r="H79" s="56" t="s">
        <v>61</v>
      </c>
      <c r="I79" s="56"/>
      <c r="J79" s="56" t="s">
        <v>60</v>
      </c>
      <c r="P79" s="57" t="s">
        <v>64</v>
      </c>
      <c r="Q79" s="57"/>
      <c r="R79" s="46"/>
      <c r="S79" s="57" t="s">
        <v>63</v>
      </c>
      <c r="T79" s="46"/>
      <c r="U79" s="56" t="s">
        <v>62</v>
      </c>
      <c r="V79" s="56"/>
      <c r="W79" s="56" t="s">
        <v>61</v>
      </c>
      <c r="X79" s="56"/>
      <c r="Y79" s="56" t="s">
        <v>60</v>
      </c>
      <c r="AA79" s="39"/>
      <c r="AE79" s="57" t="s">
        <v>64</v>
      </c>
      <c r="AF79" s="57"/>
      <c r="AG79" s="46"/>
      <c r="AH79" s="57" t="s">
        <v>63</v>
      </c>
      <c r="AI79" s="46"/>
      <c r="AJ79" s="56" t="s">
        <v>62</v>
      </c>
      <c r="AK79" s="56"/>
      <c r="AL79" s="56" t="s">
        <v>61</v>
      </c>
      <c r="AM79" s="56"/>
      <c r="AN79" s="56" t="s">
        <v>60</v>
      </c>
    </row>
    <row r="80" spans="1:55" ht="13.5" thickBot="1">
      <c r="A80" s="43"/>
      <c r="B80" s="43"/>
      <c r="C80" s="48"/>
      <c r="D80" s="53">
        <v>0.25</v>
      </c>
      <c r="E80" s="44"/>
      <c r="F80" s="50">
        <f>'Serviceability Calculator'!M53</f>
        <v>0</v>
      </c>
      <c r="G80" s="50">
        <f>F80</f>
        <v>0</v>
      </c>
      <c r="H80" s="50">
        <f>F80*D80</f>
        <v>0</v>
      </c>
      <c r="I80" s="51"/>
      <c r="J80" s="50">
        <f>F80-H80</f>
        <v>0</v>
      </c>
      <c r="P80" s="43">
        <v>1</v>
      </c>
      <c r="Q80" s="43">
        <v>18200</v>
      </c>
      <c r="R80" s="43">
        <v>18200</v>
      </c>
      <c r="S80" s="78">
        <v>0</v>
      </c>
      <c r="T80" s="44"/>
      <c r="U80" s="50">
        <f>IF('SMSF Servicing Calculator'!$N$71&lt;Q80,'SMSF Servicing Calculator'!N71,R80)</f>
        <v>0</v>
      </c>
      <c r="V80" s="50">
        <f>U80</f>
        <v>0</v>
      </c>
      <c r="W80" s="50">
        <f>U80*S80</f>
        <v>0</v>
      </c>
      <c r="X80" s="51"/>
      <c r="Y80" s="50">
        <f>U80-W80</f>
        <v>0</v>
      </c>
      <c r="AA80" s="39"/>
      <c r="AE80" s="43"/>
      <c r="AF80" s="43"/>
      <c r="AG80" s="48"/>
      <c r="AH80" s="53">
        <v>0.25</v>
      </c>
      <c r="AI80" s="44"/>
      <c r="AJ80" s="50" t="e">
        <f>#REF!</f>
        <v>#REF!</v>
      </c>
      <c r="AK80" s="50" t="e">
        <f>AJ80</f>
        <v>#REF!</v>
      </c>
      <c r="AL80" s="50" t="e">
        <f>AJ80*AH80</f>
        <v>#REF!</v>
      </c>
      <c r="AM80" s="51"/>
      <c r="AN80" s="50" t="e">
        <f>AJ80-AL80</f>
        <v>#REF!</v>
      </c>
    </row>
    <row r="81" spans="1:40" ht="13.5" thickBot="1">
      <c r="A81" s="48"/>
      <c r="B81" s="48"/>
      <c r="C81" s="46"/>
      <c r="D81" s="52" t="s">
        <v>59</v>
      </c>
      <c r="E81" s="44"/>
      <c r="F81" s="50">
        <f>SUM(F80:F80)</f>
        <v>0</v>
      </c>
      <c r="G81" s="50"/>
      <c r="H81" s="50">
        <f>SUM(H80:H80)</f>
        <v>0</v>
      </c>
      <c r="I81" s="51"/>
      <c r="J81" s="50">
        <f>SUM(J80:J80)</f>
        <v>0</v>
      </c>
      <c r="P81" s="43">
        <v>18201</v>
      </c>
      <c r="Q81" s="43">
        <v>45000</v>
      </c>
      <c r="R81" s="43">
        <v>26800</v>
      </c>
      <c r="S81" s="78">
        <v>0.16</v>
      </c>
      <c r="T81" s="44"/>
      <c r="U81" s="50">
        <f>IF(V80='SMSF Servicing Calculator'!$N$71,0,IF(('SMSF Servicing Calculator'!$N$71-V80)&gt;R81,R81,('SMSF Servicing Calculator'!$N$71-V80)))</f>
        <v>0</v>
      </c>
      <c r="V81" s="50">
        <f>V80+U81</f>
        <v>0</v>
      </c>
      <c r="W81" s="50">
        <f>U81*S81</f>
        <v>0</v>
      </c>
      <c r="X81" s="51"/>
      <c r="Y81" s="50">
        <f>U81-W81</f>
        <v>0</v>
      </c>
      <c r="AA81" s="39"/>
      <c r="AE81" s="48"/>
      <c r="AF81" s="48"/>
      <c r="AG81" s="46"/>
      <c r="AH81" s="52" t="s">
        <v>59</v>
      </c>
      <c r="AI81" s="44"/>
      <c r="AJ81" s="50" t="e">
        <f>SUM(AJ80:AJ80)</f>
        <v>#REF!</v>
      </c>
      <c r="AK81" s="50"/>
      <c r="AL81" s="50" t="e">
        <f>SUM(AL80:AL80)</f>
        <v>#REF!</v>
      </c>
      <c r="AM81" s="51"/>
      <c r="AN81" s="50" t="e">
        <f>SUM(AN80:AN80)</f>
        <v>#REF!</v>
      </c>
    </row>
    <row r="82" spans="1:40" ht="13.5" thickBot="1">
      <c r="A82" s="49" t="s">
        <v>48</v>
      </c>
      <c r="B82" s="46" t="s">
        <v>70</v>
      </c>
      <c r="C82" s="46"/>
      <c r="E82" s="44"/>
      <c r="F82" s="43"/>
      <c r="G82" s="43"/>
      <c r="H82" s="43"/>
      <c r="I82" s="43"/>
      <c r="J82" s="43"/>
      <c r="P82" s="43">
        <v>45001</v>
      </c>
      <c r="Q82" s="43">
        <v>135000</v>
      </c>
      <c r="R82" s="43">
        <v>90000</v>
      </c>
      <c r="S82" s="78">
        <v>0.3</v>
      </c>
      <c r="T82" s="44"/>
      <c r="U82" s="50">
        <f>IF(V81='SMSF Servicing Calculator'!$N$71,0,IF(('SMSF Servicing Calculator'!$N$71-V81)&gt;R82,R82,('SMSF Servicing Calculator'!$N$71-V81)))</f>
        <v>0</v>
      </c>
      <c r="V82" s="50">
        <f>V81+U82</f>
        <v>0</v>
      </c>
      <c r="W82" s="50">
        <f>U82*S82</f>
        <v>0</v>
      </c>
      <c r="X82" s="51"/>
      <c r="Y82" s="50">
        <f>U82-W82</f>
        <v>0</v>
      </c>
      <c r="AA82" s="39"/>
      <c r="AE82" s="49" t="s">
        <v>48</v>
      </c>
      <c r="AF82" s="46" t="s">
        <v>70</v>
      </c>
      <c r="AG82" s="46"/>
      <c r="AI82" s="44"/>
      <c r="AJ82" s="43"/>
      <c r="AK82" s="43"/>
      <c r="AL82" s="43"/>
      <c r="AM82" s="43"/>
      <c r="AN82" s="43"/>
    </row>
    <row r="83" spans="1:40" ht="13.5" thickBot="1">
      <c r="A83" s="48"/>
      <c r="B83" s="47"/>
      <c r="C83" s="46"/>
      <c r="D83" s="45"/>
      <c r="E83" s="44"/>
      <c r="F83" s="43"/>
      <c r="G83" s="43"/>
      <c r="H83" s="42" t="s">
        <v>33</v>
      </c>
      <c r="I83" s="41"/>
      <c r="J83" s="40">
        <f>(J81/12)</f>
        <v>0</v>
      </c>
      <c r="P83" s="43">
        <v>135001</v>
      </c>
      <c r="Q83" s="43">
        <v>190001</v>
      </c>
      <c r="R83" s="43">
        <v>55001</v>
      </c>
      <c r="S83" s="78">
        <v>0.37</v>
      </c>
      <c r="T83" s="44"/>
      <c r="U83" s="50">
        <f>IF(V82='SMSF Servicing Calculator'!$N$71,0,IF(('SMSF Servicing Calculator'!$N$71-V82)&gt;R83,R83,('SMSF Servicing Calculator'!$N$71-V82)))</f>
        <v>0</v>
      </c>
      <c r="V83" s="50">
        <f>V82+U83</f>
        <v>0</v>
      </c>
      <c r="W83" s="50">
        <f>U83*S83</f>
        <v>0</v>
      </c>
      <c r="X83" s="51"/>
      <c r="Y83" s="50">
        <f>U83-W83</f>
        <v>0</v>
      </c>
      <c r="AA83" s="39"/>
      <c r="AE83" s="48"/>
      <c r="AF83" s="47"/>
      <c r="AG83" s="46"/>
      <c r="AH83" s="45"/>
      <c r="AI83" s="44"/>
      <c r="AJ83" s="43"/>
      <c r="AK83" s="43"/>
      <c r="AL83" s="42" t="s">
        <v>33</v>
      </c>
      <c r="AM83" s="41"/>
      <c r="AN83" s="40" t="e">
        <f>(AN81/12)</f>
        <v>#REF!</v>
      </c>
    </row>
    <row r="84" spans="1:40" ht="13.5" thickBot="1">
      <c r="A84" s="46"/>
      <c r="B84" s="46"/>
      <c r="C84" s="46"/>
      <c r="E84" s="46"/>
      <c r="F84" s="46"/>
      <c r="G84" s="46"/>
      <c r="H84" s="46"/>
      <c r="I84" s="46"/>
      <c r="J84" s="46"/>
      <c r="P84" s="43">
        <v>190001</v>
      </c>
      <c r="Q84" s="43">
        <v>100000000</v>
      </c>
      <c r="R84" s="43">
        <v>99810000</v>
      </c>
      <c r="S84" s="78">
        <v>0.45</v>
      </c>
      <c r="T84" s="44"/>
      <c r="U84" s="50">
        <f>IF(V83='SMSF Servicing Calculator'!$N$71,0,IF(('SMSF Servicing Calculator'!$N$71-V83)&gt;R84,R84,('SMSF Servicing Calculator'!$N$71-V83)))</f>
        <v>0</v>
      </c>
      <c r="V84" s="50">
        <f>V83+U84</f>
        <v>0</v>
      </c>
      <c r="W84" s="50">
        <f>U84*S84</f>
        <v>0</v>
      </c>
      <c r="X84" s="51"/>
      <c r="Y84" s="50">
        <f>U84-W84</f>
        <v>0</v>
      </c>
      <c r="AA84" s="39"/>
      <c r="AE84" s="46"/>
      <c r="AF84" s="46"/>
      <c r="AG84" s="46"/>
      <c r="AI84" s="46"/>
      <c r="AJ84" s="46"/>
      <c r="AK84" s="46"/>
      <c r="AL84" s="46"/>
      <c r="AM84" s="46"/>
      <c r="AN84" s="46"/>
    </row>
    <row r="85" spans="1:40" ht="13.5" thickBot="1">
      <c r="A85" s="90" t="s">
        <v>79</v>
      </c>
      <c r="B85" s="90"/>
      <c r="C85" s="90"/>
      <c r="D85" s="90"/>
      <c r="E85" s="90"/>
      <c r="F85" s="90"/>
      <c r="G85" s="90"/>
      <c r="H85" s="91"/>
      <c r="I85" s="91"/>
      <c r="J85" s="91"/>
      <c r="P85" s="48"/>
      <c r="Q85" s="48"/>
      <c r="R85" s="46"/>
      <c r="S85" s="52" t="s">
        <v>59</v>
      </c>
      <c r="T85" s="44"/>
      <c r="U85" s="50">
        <f>SUM(U80:U84)</f>
        <v>0</v>
      </c>
      <c r="V85" s="50"/>
      <c r="W85" s="50">
        <f>SUM(W80:W84)</f>
        <v>0</v>
      </c>
      <c r="X85" s="51"/>
      <c r="Y85" s="50">
        <f>SUM(Y80:Y84)</f>
        <v>0</v>
      </c>
      <c r="AA85" s="39"/>
      <c r="AE85" s="90" t="s">
        <v>79</v>
      </c>
      <c r="AF85" s="90"/>
      <c r="AG85" s="90"/>
      <c r="AH85" s="90"/>
      <c r="AI85" s="90"/>
      <c r="AJ85" s="90"/>
      <c r="AK85" s="90"/>
      <c r="AL85" s="91"/>
      <c r="AM85" s="91"/>
      <c r="AN85" s="91"/>
    </row>
    <row r="86" spans="1:40" ht="13.5" thickBot="1">
      <c r="A86" s="57" t="s">
        <v>64</v>
      </c>
      <c r="B86" s="57"/>
      <c r="C86" s="46"/>
      <c r="D86" s="57" t="s">
        <v>63</v>
      </c>
      <c r="E86" s="46"/>
      <c r="F86" s="56" t="s">
        <v>62</v>
      </c>
      <c r="G86" s="56"/>
      <c r="H86" s="56" t="s">
        <v>61</v>
      </c>
      <c r="I86" s="56"/>
      <c r="J86" s="56" t="s">
        <v>60</v>
      </c>
      <c r="P86" s="65" t="s">
        <v>86</v>
      </c>
      <c r="R86" s="75">
        <v>0</v>
      </c>
      <c r="S86" s="76" t="s">
        <v>84</v>
      </c>
      <c r="T86" s="44"/>
      <c r="U86" s="43"/>
      <c r="V86" s="43"/>
      <c r="W86" s="43"/>
      <c r="X86" s="43"/>
      <c r="Y86" s="43"/>
      <c r="AA86" s="39"/>
      <c r="AE86" s="57" t="s">
        <v>64</v>
      </c>
      <c r="AF86" s="57"/>
      <c r="AG86" s="46"/>
      <c r="AH86" s="57" t="s">
        <v>63</v>
      </c>
      <c r="AI86" s="46"/>
      <c r="AJ86" s="56" t="s">
        <v>62</v>
      </c>
      <c r="AK86" s="56"/>
      <c r="AL86" s="56" t="s">
        <v>61</v>
      </c>
      <c r="AM86" s="56"/>
      <c r="AN86" s="56" t="s">
        <v>60</v>
      </c>
    </row>
    <row r="87" spans="1:40" ht="13.5" thickBot="1">
      <c r="A87" s="43"/>
      <c r="B87" s="43"/>
      <c r="C87" s="48"/>
      <c r="D87" s="69">
        <f>D80</f>
        <v>0.25</v>
      </c>
      <c r="E87" s="44"/>
      <c r="F87" s="50">
        <f>'Serviceability Calculator'!M54</f>
        <v>0</v>
      </c>
      <c r="G87" s="50">
        <f>F87</f>
        <v>0</v>
      </c>
      <c r="H87" s="50">
        <f>F87*D87</f>
        <v>0</v>
      </c>
      <c r="I87" s="51"/>
      <c r="J87" s="50">
        <f>F87-H87</f>
        <v>0</v>
      </c>
      <c r="P87" s="65" t="s">
        <v>85</v>
      </c>
      <c r="R87" s="75">
        <v>0</v>
      </c>
      <c r="S87" s="76" t="s">
        <v>84</v>
      </c>
      <c r="T87" s="44"/>
      <c r="U87" s="43"/>
      <c r="V87" s="43"/>
      <c r="W87" s="43"/>
      <c r="X87" s="43"/>
      <c r="Y87" s="43"/>
      <c r="AA87" s="39"/>
      <c r="AE87" s="43"/>
      <c r="AF87" s="43"/>
      <c r="AG87" s="48"/>
      <c r="AH87" s="69">
        <f>AH80</f>
        <v>0.25</v>
      </c>
      <c r="AI87" s="44"/>
      <c r="AJ87" s="50" t="e">
        <f>#REF!</f>
        <v>#REF!</v>
      </c>
      <c r="AK87" s="50" t="e">
        <f>AJ87</f>
        <v>#REF!</v>
      </c>
      <c r="AL87" s="50" t="e">
        <f>AJ87*AH87</f>
        <v>#REF!</v>
      </c>
      <c r="AM87" s="51"/>
      <c r="AN87" s="50" t="e">
        <f>AJ87-AL87</f>
        <v>#REF!</v>
      </c>
    </row>
    <row r="88" spans="1:40" ht="13.5" thickBot="1">
      <c r="A88" s="48"/>
      <c r="B88" s="48"/>
      <c r="C88" s="46"/>
      <c r="D88" s="52" t="s">
        <v>59</v>
      </c>
      <c r="E88" s="44"/>
      <c r="F88" s="50">
        <f>SUM(F87:F87)</f>
        <v>0</v>
      </c>
      <c r="G88" s="50"/>
      <c r="H88" s="50">
        <f>SUM(H87:H87)</f>
        <v>0</v>
      </c>
      <c r="I88" s="51"/>
      <c r="J88" s="50">
        <f>SUM(J87:J87)</f>
        <v>0</v>
      </c>
      <c r="P88" s="57" t="s">
        <v>83</v>
      </c>
      <c r="R88" s="75">
        <f>U85*(2/100)/12</f>
        <v>0</v>
      </c>
      <c r="S88" s="74">
        <v>0.02</v>
      </c>
      <c r="T88" s="44"/>
      <c r="U88" s="43"/>
      <c r="V88" s="43"/>
      <c r="W88" s="43"/>
      <c r="X88" s="43"/>
      <c r="Y88" s="43"/>
      <c r="AA88" s="39"/>
      <c r="AE88" s="48"/>
      <c r="AF88" s="48"/>
      <c r="AG88" s="46"/>
      <c r="AH88" s="52" t="s">
        <v>59</v>
      </c>
      <c r="AI88" s="44"/>
      <c r="AJ88" s="50" t="e">
        <f>SUM(AJ87:AJ87)</f>
        <v>#REF!</v>
      </c>
      <c r="AK88" s="50"/>
      <c r="AL88" s="50" t="e">
        <f>SUM(AL87:AL87)</f>
        <v>#REF!</v>
      </c>
      <c r="AM88" s="51"/>
      <c r="AN88" s="50" t="e">
        <f>SUM(AN87:AN87)</f>
        <v>#REF!</v>
      </c>
    </row>
    <row r="89" spans="1:40" ht="13.5" thickBot="1">
      <c r="A89" s="49" t="s">
        <v>48</v>
      </c>
      <c r="B89" s="46" t="s">
        <v>70</v>
      </c>
      <c r="C89" s="46"/>
      <c r="E89" s="44"/>
      <c r="F89" s="43"/>
      <c r="G89" s="43"/>
      <c r="H89" s="43"/>
      <c r="I89" s="43"/>
      <c r="J89" s="43"/>
      <c r="P89" s="48"/>
      <c r="Q89" s="47"/>
      <c r="R89" s="71">
        <f>SUM(R86:R88)</f>
        <v>0</v>
      </c>
      <c r="S89" s="45"/>
      <c r="T89" s="44"/>
      <c r="U89" s="43"/>
      <c r="V89" s="43"/>
      <c r="W89" s="42" t="s">
        <v>33</v>
      </c>
      <c r="X89" s="41"/>
      <c r="Y89" s="40">
        <f>(Y85/12)-R89</f>
        <v>0</v>
      </c>
      <c r="AA89" s="39"/>
      <c r="AE89" s="49" t="s">
        <v>48</v>
      </c>
      <c r="AF89" s="46" t="s">
        <v>70</v>
      </c>
      <c r="AG89" s="46"/>
      <c r="AI89" s="44"/>
      <c r="AJ89" s="43"/>
      <c r="AK89" s="43"/>
      <c r="AL89" s="43"/>
      <c r="AM89" s="43"/>
      <c r="AN89" s="43"/>
    </row>
    <row r="90" spans="1:40" ht="13.5" thickBot="1">
      <c r="A90" s="48"/>
      <c r="B90" s="47"/>
      <c r="C90" s="46"/>
      <c r="D90" s="45"/>
      <c r="E90" s="44"/>
      <c r="F90" s="43"/>
      <c r="G90" s="43"/>
      <c r="H90" s="42" t="s">
        <v>33</v>
      </c>
      <c r="I90" s="41"/>
      <c r="J90" s="40">
        <f>(J88/12)</f>
        <v>0</v>
      </c>
      <c r="P90" s="46"/>
      <c r="Q90" s="46"/>
      <c r="R90" s="46"/>
      <c r="T90" s="46"/>
      <c r="U90" s="46"/>
      <c r="V90" s="46"/>
      <c r="W90" s="46"/>
      <c r="X90" s="46"/>
      <c r="Y90" s="46"/>
      <c r="AA90" s="39"/>
      <c r="AE90" s="48"/>
      <c r="AF90" s="47"/>
      <c r="AG90" s="46"/>
      <c r="AH90" s="45"/>
      <c r="AI90" s="44"/>
      <c r="AJ90" s="43"/>
      <c r="AK90" s="43"/>
      <c r="AL90" s="42" t="s">
        <v>33</v>
      </c>
      <c r="AM90" s="41"/>
      <c r="AN90" s="40" t="e">
        <f>(AN88/12)</f>
        <v>#REF!</v>
      </c>
    </row>
    <row r="91" spans="1:40">
      <c r="P91" s="90" t="s">
        <v>81</v>
      </c>
      <c r="Q91" s="90"/>
      <c r="R91" s="90"/>
      <c r="S91" s="90"/>
      <c r="T91" s="90"/>
      <c r="U91" s="90"/>
      <c r="V91" s="90"/>
      <c r="W91" s="91"/>
      <c r="X91" s="91"/>
      <c r="Y91" s="91"/>
      <c r="AA91" s="39"/>
    </row>
    <row r="92" spans="1:40" ht="13.5" thickBot="1">
      <c r="P92" s="57" t="s">
        <v>64</v>
      </c>
      <c r="Q92" s="57"/>
      <c r="R92" s="46"/>
      <c r="S92" s="57" t="s">
        <v>63</v>
      </c>
      <c r="T92" s="46"/>
      <c r="U92" s="56" t="s">
        <v>62</v>
      </c>
      <c r="V92" s="56"/>
      <c r="W92" s="56" t="s">
        <v>61</v>
      </c>
      <c r="X92" s="56"/>
      <c r="Y92" s="56" t="s">
        <v>60</v>
      </c>
      <c r="AA92" s="39"/>
    </row>
    <row r="93" spans="1:40" ht="13.5" thickBot="1">
      <c r="P93" s="43">
        <v>1</v>
      </c>
      <c r="Q93" s="43">
        <v>18200</v>
      </c>
      <c r="R93" s="43">
        <v>18200</v>
      </c>
      <c r="S93" s="78">
        <v>0</v>
      </c>
      <c r="T93" s="44"/>
      <c r="U93" s="50">
        <f>IF('SMSF Servicing Calculator'!$N$72&lt;Q93,'SMSF Servicing Calculator'!N72,R93)</f>
        <v>0</v>
      </c>
      <c r="V93" s="50">
        <f>U93</f>
        <v>0</v>
      </c>
      <c r="W93" s="50">
        <f>U93*S93</f>
        <v>0</v>
      </c>
      <c r="X93" s="51"/>
      <c r="Y93" s="50">
        <f>U93-W93</f>
        <v>0</v>
      </c>
      <c r="AA93" s="39"/>
    </row>
    <row r="94" spans="1:40" ht="13.5" thickBot="1">
      <c r="P94" s="43">
        <v>18201</v>
      </c>
      <c r="Q94" s="43">
        <v>45000</v>
      </c>
      <c r="R94" s="43">
        <v>26800</v>
      </c>
      <c r="S94" s="78">
        <v>0.16</v>
      </c>
      <c r="T94" s="44"/>
      <c r="U94" s="50">
        <f>IF(V93='SMSF Servicing Calculator'!$N$72,0,IF(('SMSF Servicing Calculator'!$N$72-V93)&gt;R94,R94,('SMSF Servicing Calculator'!$N$72-V93)))</f>
        <v>0</v>
      </c>
      <c r="V94" s="50">
        <f>V93+U94</f>
        <v>0</v>
      </c>
      <c r="W94" s="50">
        <f>U94*S94</f>
        <v>0</v>
      </c>
      <c r="X94" s="51"/>
      <c r="Y94" s="50">
        <f>U94-W94</f>
        <v>0</v>
      </c>
      <c r="AA94" s="39"/>
    </row>
    <row r="95" spans="1:40" ht="13.5" thickBot="1">
      <c r="A95" s="65" t="s">
        <v>75</v>
      </c>
      <c r="P95" s="43">
        <v>45001</v>
      </c>
      <c r="Q95" s="43">
        <v>135000</v>
      </c>
      <c r="R95" s="43">
        <v>90000</v>
      </c>
      <c r="S95" s="78">
        <v>0.3</v>
      </c>
      <c r="T95" s="44"/>
      <c r="U95" s="50">
        <f>IF(V94='SMSF Servicing Calculator'!$N$72,0,IF(('SMSF Servicing Calculator'!$N$72-V94)&gt;R95,R95,('SMSF Servicing Calculator'!$N$72-V94)))</f>
        <v>0</v>
      </c>
      <c r="V95" s="50">
        <f>V94+U95</f>
        <v>0</v>
      </c>
      <c r="W95" s="50">
        <f>U95*S95</f>
        <v>0</v>
      </c>
      <c r="X95" s="51"/>
      <c r="Y95" s="50">
        <f>U95-W95</f>
        <v>0</v>
      </c>
      <c r="AA95" s="39"/>
    </row>
    <row r="96" spans="1:40" ht="13.5" thickBot="1">
      <c r="A96" s="64" t="s">
        <v>74</v>
      </c>
      <c r="B96" s="63" t="s">
        <v>73</v>
      </c>
      <c r="C96" s="63" t="s">
        <v>72</v>
      </c>
      <c r="D96" s="62" t="s">
        <v>71</v>
      </c>
      <c r="P96" s="43">
        <v>135001</v>
      </c>
      <c r="Q96" s="43">
        <v>190001</v>
      </c>
      <c r="R96" s="43">
        <v>55001</v>
      </c>
      <c r="S96" s="78">
        <v>0.37</v>
      </c>
      <c r="T96" s="44"/>
      <c r="U96" s="50">
        <f>IF(V95='SMSF Servicing Calculator'!$N$72,0,IF(('SMSF Servicing Calculator'!$N$72-V95)&gt;R96,R96,('SMSF Servicing Calculator'!$N$72-V95)))</f>
        <v>0</v>
      </c>
      <c r="V96" s="50">
        <f>V95+U96</f>
        <v>0</v>
      </c>
      <c r="W96" s="50">
        <f>U96*S96</f>
        <v>0</v>
      </c>
      <c r="X96" s="51"/>
      <c r="Y96" s="50">
        <f>U96-W96</f>
        <v>0</v>
      </c>
      <c r="AA96" s="39"/>
    </row>
    <row r="97" spans="1:27" ht="13.5" thickBot="1">
      <c r="A97" s="61">
        <v>0</v>
      </c>
      <c r="B97" s="60">
        <v>19543</v>
      </c>
      <c r="C97" s="60"/>
      <c r="D97" s="58">
        <v>0</v>
      </c>
      <c r="P97" s="43">
        <v>190001</v>
      </c>
      <c r="Q97" s="43">
        <v>100000000</v>
      </c>
      <c r="R97" s="43">
        <v>99810000</v>
      </c>
      <c r="S97" s="78">
        <v>0.45</v>
      </c>
      <c r="T97" s="44"/>
      <c r="U97" s="50">
        <f>IF(V96='SMSF Servicing Calculator'!$N$72,0,IF(('SMSF Servicing Calculator'!$N$72-V96)&gt;R97,R97,('SMSF Servicing Calculator'!$N$72-V96)))</f>
        <v>0</v>
      </c>
      <c r="V97" s="50">
        <f>V96+U97</f>
        <v>0</v>
      </c>
      <c r="W97" s="50">
        <f>U97*S97</f>
        <v>0</v>
      </c>
      <c r="X97" s="51"/>
      <c r="Y97" s="50">
        <f>U97-W97</f>
        <v>0</v>
      </c>
      <c r="AA97" s="39"/>
    </row>
    <row r="98" spans="1:27" ht="13.5" thickBot="1">
      <c r="A98" s="61">
        <v>19543</v>
      </c>
      <c r="B98" s="60">
        <v>37000</v>
      </c>
      <c r="C98" s="60"/>
      <c r="D98" s="58">
        <v>-255</v>
      </c>
      <c r="P98" s="48"/>
      <c r="Q98" s="48"/>
      <c r="R98" s="46"/>
      <c r="S98" s="52" t="s">
        <v>59</v>
      </c>
      <c r="T98" s="44"/>
      <c r="U98" s="50">
        <f>SUM(U93:U97)</f>
        <v>0</v>
      </c>
      <c r="V98" s="50"/>
      <c r="W98" s="50">
        <f>SUM(W93:W97)</f>
        <v>0</v>
      </c>
      <c r="X98" s="51"/>
      <c r="Y98" s="50">
        <f>SUM(Y93:Y97)</f>
        <v>0</v>
      </c>
      <c r="AA98" s="39"/>
    </row>
    <row r="99" spans="1:27">
      <c r="A99" s="61">
        <v>37001</v>
      </c>
      <c r="B99" s="60">
        <v>48000</v>
      </c>
      <c r="C99" s="59">
        <v>-7.4999999999999997E-2</v>
      </c>
      <c r="D99" s="58">
        <v>-255</v>
      </c>
      <c r="P99" s="65" t="s">
        <v>86</v>
      </c>
      <c r="R99" s="75">
        <v>0</v>
      </c>
      <c r="S99" s="76" t="s">
        <v>84</v>
      </c>
      <c r="T99" s="44"/>
      <c r="U99" s="43"/>
      <c r="V99" s="43"/>
      <c r="W99" s="43"/>
      <c r="X99" s="43"/>
      <c r="Y99" s="43"/>
      <c r="AA99" s="39"/>
    </row>
    <row r="100" spans="1:27">
      <c r="A100" s="61">
        <v>48001</v>
      </c>
      <c r="B100" s="60">
        <v>90000</v>
      </c>
      <c r="C100" s="60"/>
      <c r="D100" s="58">
        <v>-1080</v>
      </c>
      <c r="P100" s="65" t="s">
        <v>85</v>
      </c>
      <c r="R100" s="75">
        <v>0</v>
      </c>
      <c r="S100" s="76" t="s">
        <v>84</v>
      </c>
      <c r="T100" s="44"/>
      <c r="U100" s="43"/>
      <c r="V100" s="43"/>
      <c r="W100" s="43"/>
      <c r="X100" s="43"/>
      <c r="Y100" s="43"/>
      <c r="AA100" s="39"/>
    </row>
    <row r="101" spans="1:27" ht="13.5" thickBot="1">
      <c r="A101" s="61">
        <v>90001</v>
      </c>
      <c r="B101" s="60">
        <v>126000</v>
      </c>
      <c r="C101" s="59">
        <v>0.03</v>
      </c>
      <c r="D101" s="58">
        <v>-1080</v>
      </c>
      <c r="P101" s="57" t="s">
        <v>83</v>
      </c>
      <c r="R101" s="75">
        <f>U98*(2/100)/12</f>
        <v>0</v>
      </c>
      <c r="S101" s="74">
        <v>0.02</v>
      </c>
      <c r="T101" s="44"/>
      <c r="U101" s="43"/>
      <c r="V101" s="43"/>
      <c r="W101" s="43"/>
      <c r="X101" s="43"/>
      <c r="Y101" s="43"/>
      <c r="AA101" s="39"/>
    </row>
    <row r="102" spans="1:27" ht="13.5" thickBot="1">
      <c r="A102" s="68">
        <v>126001</v>
      </c>
      <c r="B102" s="67">
        <v>10000000</v>
      </c>
      <c r="C102" s="67"/>
      <c r="D102" s="66">
        <v>0</v>
      </c>
      <c r="P102" s="48"/>
      <c r="Q102" s="47"/>
      <c r="R102" s="71">
        <f>SUM(R99:R101)</f>
        <v>0</v>
      </c>
      <c r="S102" s="45"/>
      <c r="T102" s="44"/>
      <c r="U102" s="43"/>
      <c r="V102" s="43"/>
      <c r="W102" s="42" t="s">
        <v>33</v>
      </c>
      <c r="X102" s="41"/>
      <c r="Y102" s="40">
        <f>(Y98/12)-R102</f>
        <v>0</v>
      </c>
      <c r="AA102" s="39"/>
    </row>
    <row r="103" spans="1:27">
      <c r="P103" s="46"/>
      <c r="Q103" s="46"/>
      <c r="R103" s="46"/>
      <c r="T103" s="46"/>
      <c r="U103" s="46"/>
      <c r="V103" s="46"/>
      <c r="W103" s="46"/>
      <c r="X103" s="46"/>
      <c r="Y103" s="46"/>
      <c r="AA103" s="39"/>
    </row>
    <row r="104" spans="1:27">
      <c r="P104" s="90" t="s">
        <v>80</v>
      </c>
      <c r="Q104" s="90"/>
      <c r="R104" s="90"/>
      <c r="S104" s="90"/>
      <c r="T104" s="90"/>
      <c r="U104" s="90"/>
      <c r="V104" s="90"/>
      <c r="W104" s="91"/>
      <c r="X104" s="91"/>
      <c r="Y104" s="91"/>
      <c r="AA104" s="39"/>
    </row>
    <row r="105" spans="1:27" ht="13.5" thickBot="1">
      <c r="P105" s="57" t="s">
        <v>64</v>
      </c>
      <c r="Q105" s="57"/>
      <c r="R105" s="46"/>
      <c r="S105" s="57" t="s">
        <v>63</v>
      </c>
      <c r="T105" s="46"/>
      <c r="U105" s="56" t="s">
        <v>62</v>
      </c>
      <c r="V105" s="56"/>
      <c r="W105" s="56" t="s">
        <v>61</v>
      </c>
      <c r="X105" s="56"/>
      <c r="Y105" s="56" t="s">
        <v>60</v>
      </c>
      <c r="AA105" s="39"/>
    </row>
    <row r="106" spans="1:27" ht="13.5" thickBot="1">
      <c r="A106" s="38">
        <f>IF(F10&lt;=B97,D97,IF($F$23&lt;=$B$98,$D$98,IF($F$23&lt;=$B$99,(($F$23-$B$98)*$C$99)+$D$99,IF($F$23&lt;=$B$100,$D$100,IF($F$23&lt;=$B$101,(($F$23-$B$100)*$C$101)+$D$101,IF($F$23&lt;=$B$102,$D$102,0))))))</f>
        <v>0</v>
      </c>
      <c r="P106" s="43"/>
      <c r="Q106" s="43"/>
      <c r="R106" s="48"/>
      <c r="S106" s="69">
        <f>D80</f>
        <v>0.25</v>
      </c>
      <c r="T106" s="44"/>
      <c r="U106" s="50">
        <f>'SMSF Servicing Calculator'!D84</f>
        <v>0</v>
      </c>
      <c r="V106" s="50">
        <f>U106</f>
        <v>0</v>
      </c>
      <c r="W106" s="50">
        <f>U106*S106</f>
        <v>0</v>
      </c>
      <c r="X106" s="51"/>
      <c r="Y106" s="50">
        <f>U106-W106</f>
        <v>0</v>
      </c>
    </row>
    <row r="107" spans="1:27" ht="13.5" thickBot="1">
      <c r="P107" s="48"/>
      <c r="Q107" s="48"/>
      <c r="R107" s="46"/>
      <c r="S107" s="52" t="s">
        <v>59</v>
      </c>
      <c r="T107" s="44"/>
      <c r="U107" s="50">
        <f>SUM(U106:U106)</f>
        <v>0</v>
      </c>
      <c r="V107" s="50"/>
      <c r="W107" s="50">
        <f>SUM(W106:W106)</f>
        <v>0</v>
      </c>
      <c r="X107" s="51"/>
      <c r="Y107" s="50">
        <f>SUM(Y106:Y106)</f>
        <v>0</v>
      </c>
    </row>
    <row r="108" spans="1:27" ht="13.5" thickBot="1">
      <c r="A108" s="65" t="s">
        <v>68</v>
      </c>
      <c r="P108" s="49" t="s">
        <v>48</v>
      </c>
      <c r="Q108" s="46" t="s">
        <v>70</v>
      </c>
      <c r="R108" s="46"/>
      <c r="T108" s="44"/>
      <c r="U108" s="43"/>
      <c r="V108" s="43"/>
      <c r="W108" s="43"/>
      <c r="X108" s="43"/>
      <c r="Y108" s="43"/>
    </row>
    <row r="109" spans="1:27" ht="13.5" thickBot="1">
      <c r="A109" s="64">
        <v>0</v>
      </c>
      <c r="B109" s="63">
        <v>20593</v>
      </c>
      <c r="C109" s="63"/>
      <c r="D109" s="62">
        <v>0</v>
      </c>
      <c r="P109" s="48"/>
      <c r="Q109" s="47"/>
      <c r="R109" s="46"/>
      <c r="S109" s="45"/>
      <c r="T109" s="44"/>
      <c r="U109" s="43"/>
      <c r="V109" s="43"/>
      <c r="W109" s="42" t="s">
        <v>33</v>
      </c>
      <c r="X109" s="41"/>
      <c r="Y109" s="40">
        <f>(Y107/12)</f>
        <v>0</v>
      </c>
    </row>
    <row r="110" spans="1:27">
      <c r="A110" s="61">
        <v>20596</v>
      </c>
      <c r="B110" s="60">
        <v>37000</v>
      </c>
      <c r="C110" s="60"/>
      <c r="D110" s="58">
        <v>-445</v>
      </c>
      <c r="P110" s="46"/>
      <c r="Q110" s="46"/>
      <c r="R110" s="46"/>
      <c r="T110" s="46"/>
      <c r="U110" s="46"/>
      <c r="V110" s="46"/>
      <c r="W110" s="46"/>
      <c r="X110" s="46"/>
      <c r="Y110" s="46"/>
    </row>
    <row r="111" spans="1:27">
      <c r="A111" s="61">
        <v>37001</v>
      </c>
      <c r="B111" s="60">
        <v>66666</v>
      </c>
      <c r="C111" s="59">
        <v>1.4999999999999999E-2</v>
      </c>
      <c r="D111" s="58">
        <v>-445</v>
      </c>
      <c r="P111" s="90" t="s">
        <v>79</v>
      </c>
      <c r="Q111" s="90"/>
      <c r="R111" s="90"/>
      <c r="S111" s="90"/>
      <c r="T111" s="90"/>
      <c r="U111" s="90"/>
      <c r="V111" s="90"/>
      <c r="W111" s="91"/>
      <c r="X111" s="91"/>
      <c r="Y111" s="91"/>
    </row>
    <row r="112" spans="1:27" ht="13.5" thickBot="1">
      <c r="A112" s="61">
        <v>66667</v>
      </c>
      <c r="B112" s="60">
        <v>10000000</v>
      </c>
      <c r="C112" s="59"/>
      <c r="D112" s="58">
        <v>0</v>
      </c>
      <c r="P112" s="57" t="s">
        <v>64</v>
      </c>
      <c r="Q112" s="57"/>
      <c r="R112" s="46"/>
      <c r="S112" s="57" t="s">
        <v>63</v>
      </c>
      <c r="T112" s="46"/>
      <c r="U112" s="56" t="s">
        <v>62</v>
      </c>
      <c r="V112" s="56"/>
      <c r="W112" s="56" t="s">
        <v>61</v>
      </c>
      <c r="X112" s="56"/>
      <c r="Y112" s="56" t="s">
        <v>60</v>
      </c>
    </row>
    <row r="113" spans="1:25" ht="13.5" thickBot="1">
      <c r="P113" s="43"/>
      <c r="Q113" s="43"/>
      <c r="R113" s="48"/>
      <c r="S113" s="69">
        <f>D87</f>
        <v>0.25</v>
      </c>
      <c r="T113" s="44"/>
      <c r="U113" s="50">
        <f>'SMSF Servicing Calculator'!D85</f>
        <v>0</v>
      </c>
      <c r="V113" s="50">
        <f>U113</f>
        <v>0</v>
      </c>
      <c r="W113" s="50">
        <f>U113*S113</f>
        <v>0</v>
      </c>
      <c r="X113" s="51"/>
      <c r="Y113" s="50">
        <f>U113-W113</f>
        <v>0</v>
      </c>
    </row>
    <row r="114" spans="1:25" ht="13.5" thickBot="1">
      <c r="P114" s="48"/>
      <c r="Q114" s="48"/>
      <c r="R114" s="46"/>
      <c r="S114" s="52" t="s">
        <v>59</v>
      </c>
      <c r="T114" s="44"/>
      <c r="U114" s="50">
        <f>SUM(U113:U113)</f>
        <v>0</v>
      </c>
      <c r="V114" s="50"/>
      <c r="W114" s="50">
        <f>SUM(W113:W113)</f>
        <v>0</v>
      </c>
      <c r="X114" s="51"/>
      <c r="Y114" s="50">
        <f>SUM(Y113:Y113)</f>
        <v>0</v>
      </c>
    </row>
    <row r="115" spans="1:25" ht="13.5" thickBot="1">
      <c r="A115" s="38">
        <f>IF($F$10&lt;=$B$109,$D$109,IF($F$10&lt;=$B$110,$D$110,IF($F$10&lt;=$B$111,(($F$10-$B$110)*$C$111)+$D$111,IF($F$10&lt;=$B$112,$D$112,0))))</f>
        <v>0</v>
      </c>
      <c r="P115" s="49" t="s">
        <v>48</v>
      </c>
      <c r="Q115" s="46" t="s">
        <v>70</v>
      </c>
      <c r="R115" s="46"/>
      <c r="T115" s="44"/>
      <c r="U115" s="43"/>
      <c r="V115" s="43"/>
      <c r="W115" s="43"/>
      <c r="X115" s="43"/>
      <c r="Y115" s="43"/>
    </row>
    <row r="116" spans="1:25" ht="13.5" thickBot="1">
      <c r="P116" s="48"/>
      <c r="Q116" s="47"/>
      <c r="R116" s="46"/>
      <c r="S116" s="45"/>
      <c r="T116" s="44"/>
      <c r="U116" s="43"/>
      <c r="V116" s="43"/>
      <c r="W116" s="42" t="s">
        <v>33</v>
      </c>
      <c r="X116" s="41"/>
      <c r="Y116" s="40">
        <f>(Y114/12)</f>
        <v>0</v>
      </c>
    </row>
    <row r="118" spans="1:25">
      <c r="P118" s="90" t="s">
        <v>78</v>
      </c>
      <c r="Q118" s="90"/>
      <c r="R118" s="90"/>
      <c r="S118" s="90"/>
      <c r="T118" s="90"/>
      <c r="U118" s="90"/>
      <c r="V118" s="90"/>
      <c r="W118" s="91"/>
      <c r="X118" s="91"/>
      <c r="Y118" s="91"/>
    </row>
    <row r="119" spans="1:25" ht="13.5" thickBot="1">
      <c r="P119" s="57" t="s">
        <v>64</v>
      </c>
      <c r="Q119" s="57"/>
      <c r="R119" s="46"/>
      <c r="S119" s="57" t="s">
        <v>63</v>
      </c>
      <c r="T119" s="46"/>
      <c r="U119" s="56" t="s">
        <v>77</v>
      </c>
      <c r="V119" s="56" t="s">
        <v>76</v>
      </c>
      <c r="W119" s="56" t="s">
        <v>61</v>
      </c>
      <c r="X119" s="56"/>
      <c r="Y119" s="56" t="s">
        <v>60</v>
      </c>
    </row>
    <row r="120" spans="1:25" ht="13.5" thickBot="1">
      <c r="P120" s="43"/>
      <c r="Q120" s="43"/>
      <c r="R120" s="48"/>
      <c r="S120" s="55">
        <v>0.15</v>
      </c>
      <c r="T120" s="44"/>
      <c r="U120" s="50" t="e">
        <f>'SMSF Servicing Calculator'!D9</f>
        <v>#DIV/0!</v>
      </c>
      <c r="V120" s="50" t="e">
        <f>U120*3.9%</f>
        <v>#DIV/0!</v>
      </c>
      <c r="W120" s="50" t="e">
        <f>V120*S120</f>
        <v>#DIV/0!</v>
      </c>
      <c r="X120" s="51"/>
      <c r="Y120" s="50" t="e">
        <f>V120-W120</f>
        <v>#DIV/0!</v>
      </c>
    </row>
    <row r="121" spans="1:25" ht="13.5" thickBot="1">
      <c r="P121" s="48"/>
      <c r="Q121" s="48"/>
      <c r="R121" s="46"/>
      <c r="S121" s="52" t="s">
        <v>59</v>
      </c>
      <c r="T121" s="44"/>
      <c r="U121" s="50" t="e">
        <f>SUM(U120:U120)</f>
        <v>#DIV/0!</v>
      </c>
      <c r="V121" s="50"/>
      <c r="W121" s="50" t="e">
        <f>SUM(W120:W120)</f>
        <v>#DIV/0!</v>
      </c>
      <c r="X121" s="51"/>
      <c r="Y121" s="50" t="e">
        <f>SUM(Y120:Y120)</f>
        <v>#DIV/0!</v>
      </c>
    </row>
    <row r="122" spans="1:25">
      <c r="P122" s="49" t="s">
        <v>48</v>
      </c>
      <c r="Q122" s="46" t="s">
        <v>70</v>
      </c>
      <c r="R122" s="46"/>
      <c r="T122" s="44"/>
      <c r="U122" s="43"/>
      <c r="V122" s="43"/>
      <c r="W122" s="43"/>
      <c r="X122" s="43"/>
      <c r="Y122" s="43"/>
    </row>
    <row r="123" spans="1:25" ht="13.5" thickBot="1">
      <c r="P123" s="49"/>
      <c r="Q123" s="46"/>
      <c r="R123" s="46"/>
      <c r="T123" s="44"/>
      <c r="U123" s="43"/>
      <c r="V123" s="43"/>
      <c r="W123" s="43"/>
      <c r="X123" s="43"/>
      <c r="Y123" s="43"/>
    </row>
    <row r="124" spans="1:25" ht="13.5" thickBot="1">
      <c r="P124" s="48"/>
      <c r="Q124" s="47"/>
      <c r="R124" s="46"/>
      <c r="S124" s="45"/>
      <c r="T124" s="44"/>
      <c r="U124" s="43"/>
      <c r="V124" s="43"/>
      <c r="W124" s="42" t="s">
        <v>33</v>
      </c>
      <c r="X124" s="41"/>
      <c r="Y124" s="40" t="e">
        <f>(Y121/12)</f>
        <v>#DIV/0!</v>
      </c>
    </row>
    <row r="126" spans="1:25">
      <c r="P126" s="92" t="s">
        <v>69</v>
      </c>
      <c r="Q126" s="90"/>
      <c r="R126" s="90"/>
      <c r="S126" s="90"/>
      <c r="T126" s="90"/>
      <c r="U126" s="90"/>
      <c r="V126" s="90"/>
      <c r="W126" s="91"/>
      <c r="X126" s="91"/>
      <c r="Y126" s="91"/>
    </row>
    <row r="127" spans="1:25" ht="13.5" thickBot="1">
      <c r="P127" s="57" t="s">
        <v>64</v>
      </c>
      <c r="Q127" s="57"/>
      <c r="R127" s="46"/>
      <c r="S127" s="57" t="s">
        <v>63</v>
      </c>
      <c r="T127" s="46"/>
      <c r="U127" s="56" t="s">
        <v>62</v>
      </c>
      <c r="V127" s="56"/>
      <c r="W127" s="56" t="s">
        <v>61</v>
      </c>
      <c r="X127" s="56"/>
      <c r="Y127" s="56" t="s">
        <v>60</v>
      </c>
    </row>
    <row r="128" spans="1:25" ht="13.5" thickBot="1">
      <c r="P128" s="43">
        <v>1</v>
      </c>
      <c r="Q128" s="43">
        <v>25000</v>
      </c>
      <c r="R128" s="54">
        <f>Q128-P128+1</f>
        <v>25000</v>
      </c>
      <c r="S128" s="55">
        <v>0.15</v>
      </c>
      <c r="T128" s="44"/>
      <c r="U128" s="50">
        <f>IF('SMSF Servicing Calculator'!D12&lt;Q128,'SMSF Servicing Calculator'!D12,R128)</f>
        <v>0</v>
      </c>
      <c r="V128" s="50">
        <f>U128</f>
        <v>0</v>
      </c>
      <c r="W128" s="50">
        <f>U128*S128</f>
        <v>0</v>
      </c>
      <c r="X128" s="51"/>
      <c r="Y128" s="50">
        <f>V128-W128</f>
        <v>0</v>
      </c>
    </row>
    <row r="129" spans="16:25" ht="13.5" thickBot="1">
      <c r="P129" s="43">
        <v>25001</v>
      </c>
      <c r="Q129" s="43">
        <v>10000000</v>
      </c>
      <c r="R129" s="54">
        <f>Q129-P129+1</f>
        <v>9975000</v>
      </c>
      <c r="S129" s="53">
        <v>0.47</v>
      </c>
      <c r="T129" s="44"/>
      <c r="U129" s="50">
        <f>IF(V128='SMSF Servicing Calculator'!$D$12,0,IF(('SMSF Servicing Calculator'!$D$12-V128)&gt;R129,R129,('SMSF Servicing Calculator'!$D$12-V128)))</f>
        <v>0</v>
      </c>
      <c r="V129" s="50">
        <f>V128+U129</f>
        <v>0</v>
      </c>
      <c r="W129" s="50">
        <f>U129*S129</f>
        <v>0</v>
      </c>
      <c r="X129" s="51"/>
      <c r="Y129" s="50">
        <f>U129-W129</f>
        <v>0</v>
      </c>
    </row>
    <row r="130" spans="16:25" ht="13.5" thickBot="1">
      <c r="P130" s="48"/>
      <c r="Q130" s="48"/>
      <c r="R130" s="46"/>
      <c r="S130" s="52" t="s">
        <v>59</v>
      </c>
      <c r="T130" s="44"/>
      <c r="U130" s="50">
        <f>SUM(U128:U129)</f>
        <v>0</v>
      </c>
      <c r="V130" s="50"/>
      <c r="W130" s="50">
        <f>SUM(W128:W129)</f>
        <v>0</v>
      </c>
      <c r="X130" s="51"/>
      <c r="Y130" s="50">
        <f>SUM(Y128:Y129)</f>
        <v>0</v>
      </c>
    </row>
    <row r="131" spans="16:25" ht="13.5" thickBot="1">
      <c r="P131" s="49"/>
      <c r="Q131" s="46"/>
      <c r="R131" s="46"/>
      <c r="T131" s="44"/>
      <c r="U131" s="43"/>
      <c r="V131" s="43"/>
      <c r="W131" s="43"/>
      <c r="X131" s="43"/>
      <c r="Y131" s="43"/>
    </row>
    <row r="132" spans="16:25" ht="13.5" thickBot="1">
      <c r="P132" s="48"/>
      <c r="Q132" s="47"/>
      <c r="R132" s="46"/>
      <c r="S132" s="45"/>
      <c r="T132" s="44"/>
      <c r="U132" s="43"/>
      <c r="V132" s="43"/>
      <c r="W132" s="42" t="s">
        <v>33</v>
      </c>
      <c r="X132" s="41"/>
      <c r="Y132" s="40">
        <f>(Y130/12)</f>
        <v>0</v>
      </c>
    </row>
    <row r="134" spans="16:25">
      <c r="P134" s="92" t="s">
        <v>67</v>
      </c>
      <c r="Q134" s="90"/>
      <c r="R134" s="90"/>
      <c r="S134" s="90"/>
      <c r="T134" s="90"/>
      <c r="U134" s="90"/>
      <c r="V134" s="90"/>
      <c r="W134" s="91"/>
      <c r="X134" s="91"/>
      <c r="Y134" s="91"/>
    </row>
    <row r="135" spans="16:25" ht="13.5" thickBot="1">
      <c r="P135" s="57" t="s">
        <v>64</v>
      </c>
      <c r="Q135" s="57"/>
      <c r="R135" s="46"/>
      <c r="S135" s="57" t="s">
        <v>63</v>
      </c>
      <c r="T135" s="46"/>
      <c r="U135" s="56" t="s">
        <v>62</v>
      </c>
      <c r="V135" s="56"/>
      <c r="W135" s="56" t="s">
        <v>61</v>
      </c>
      <c r="X135" s="56"/>
      <c r="Y135" s="56" t="s">
        <v>60</v>
      </c>
    </row>
    <row r="136" spans="16:25" ht="13.5" thickBot="1">
      <c r="P136" s="43">
        <v>1</v>
      </c>
      <c r="Q136" s="43">
        <v>25000</v>
      </c>
      <c r="R136" s="54">
        <f>Q136-P136+1</f>
        <v>25000</v>
      </c>
      <c r="S136" s="55">
        <f>S128</f>
        <v>0.15</v>
      </c>
      <c r="T136" s="44"/>
      <c r="U136" s="50">
        <f>IF('SMSF Servicing Calculator'!D13&lt;Q136,'SMSF Servicing Calculator'!D13,R136)</f>
        <v>0</v>
      </c>
      <c r="V136" s="50">
        <f>U136</f>
        <v>0</v>
      </c>
      <c r="W136" s="50">
        <f>U136*S136</f>
        <v>0</v>
      </c>
      <c r="X136" s="51"/>
      <c r="Y136" s="50">
        <f>V136-W136</f>
        <v>0</v>
      </c>
    </row>
    <row r="137" spans="16:25" ht="13.5" thickBot="1">
      <c r="P137" s="43">
        <v>25001</v>
      </c>
      <c r="Q137" s="43">
        <v>10000000</v>
      </c>
      <c r="R137" s="54">
        <f>Q137-P137+1</f>
        <v>9975000</v>
      </c>
      <c r="S137" s="53">
        <f>S129</f>
        <v>0.47</v>
      </c>
      <c r="T137" s="44"/>
      <c r="U137" s="50">
        <f>IF(V136='SMSF Servicing Calculator'!$D$13,0,IF(('SMSF Servicing Calculator'!$D$13-V136)&gt;R137,R137,('SMSF Servicing Calculator'!$D$13-V136)))</f>
        <v>0</v>
      </c>
      <c r="V137" s="50">
        <f>V136+U137</f>
        <v>0</v>
      </c>
      <c r="W137" s="50">
        <f>U137*S137</f>
        <v>0</v>
      </c>
      <c r="X137" s="51"/>
      <c r="Y137" s="50">
        <f>U137-W137</f>
        <v>0</v>
      </c>
    </row>
    <row r="138" spans="16:25" ht="13.5" thickBot="1">
      <c r="P138" s="48"/>
      <c r="Q138" s="48"/>
      <c r="R138" s="46"/>
      <c r="S138" s="52" t="s">
        <v>59</v>
      </c>
      <c r="T138" s="44"/>
      <c r="U138" s="50">
        <f>SUM(U136:U137)</f>
        <v>0</v>
      </c>
      <c r="V138" s="50"/>
      <c r="W138" s="50">
        <f>SUM(W136:W137)</f>
        <v>0</v>
      </c>
      <c r="X138" s="51"/>
      <c r="Y138" s="50">
        <f>SUM(Y136:Y137)</f>
        <v>0</v>
      </c>
    </row>
    <row r="139" spans="16:25" ht="13.5" thickBot="1">
      <c r="P139" s="49"/>
      <c r="Q139" s="46"/>
      <c r="R139" s="46"/>
      <c r="T139" s="44"/>
      <c r="U139" s="43"/>
      <c r="V139" s="43"/>
      <c r="W139" s="43"/>
      <c r="X139" s="43"/>
      <c r="Y139" s="43"/>
    </row>
    <row r="140" spans="16:25" ht="13.5" thickBot="1">
      <c r="P140" s="48"/>
      <c r="Q140" s="47"/>
      <c r="R140" s="46"/>
      <c r="S140" s="45"/>
      <c r="T140" s="44"/>
      <c r="U140" s="43"/>
      <c r="V140" s="43"/>
      <c r="W140" s="42" t="s">
        <v>33</v>
      </c>
      <c r="X140" s="41"/>
      <c r="Y140" s="40">
        <f>(Y138/12)</f>
        <v>0</v>
      </c>
    </row>
    <row r="142" spans="16:25">
      <c r="P142" s="92" t="s">
        <v>66</v>
      </c>
      <c r="Q142" s="90"/>
      <c r="R142" s="90"/>
      <c r="S142" s="90"/>
      <c r="T142" s="90"/>
      <c r="U142" s="90"/>
      <c r="V142" s="90"/>
      <c r="W142" s="91"/>
      <c r="X142" s="91"/>
      <c r="Y142" s="91"/>
    </row>
    <row r="143" spans="16:25" ht="13.5" thickBot="1">
      <c r="P143" s="57" t="s">
        <v>64</v>
      </c>
      <c r="Q143" s="57"/>
      <c r="R143" s="46"/>
      <c r="S143" s="57" t="s">
        <v>63</v>
      </c>
      <c r="T143" s="46"/>
      <c r="U143" s="56" t="s">
        <v>62</v>
      </c>
      <c r="V143" s="56"/>
      <c r="W143" s="56" t="s">
        <v>61</v>
      </c>
      <c r="X143" s="56"/>
      <c r="Y143" s="56" t="s">
        <v>60</v>
      </c>
    </row>
    <row r="144" spans="16:25" ht="13.5" thickBot="1">
      <c r="P144" s="43">
        <v>1</v>
      </c>
      <c r="Q144" s="43">
        <v>25000</v>
      </c>
      <c r="R144" s="54">
        <f>Q144-P144+1</f>
        <v>25000</v>
      </c>
      <c r="S144" s="55">
        <f>S128</f>
        <v>0.15</v>
      </c>
      <c r="T144" s="44"/>
      <c r="U144" s="50">
        <f>IF('SMSF Servicing Calculator'!D14&lt;Q144,'SMSF Servicing Calculator'!D14,R144)</f>
        <v>0</v>
      </c>
      <c r="V144" s="50">
        <f>U144</f>
        <v>0</v>
      </c>
      <c r="W144" s="50">
        <f>U144*S144</f>
        <v>0</v>
      </c>
      <c r="X144" s="51"/>
      <c r="Y144" s="50">
        <f>V144-W144</f>
        <v>0</v>
      </c>
    </row>
    <row r="145" spans="16:25" ht="13.5" thickBot="1">
      <c r="P145" s="43">
        <v>25001</v>
      </c>
      <c r="Q145" s="43">
        <v>10000000</v>
      </c>
      <c r="R145" s="54">
        <f>Q145-P145+1</f>
        <v>9975000</v>
      </c>
      <c r="S145" s="53">
        <f>S129</f>
        <v>0.47</v>
      </c>
      <c r="T145" s="44"/>
      <c r="U145" s="50">
        <f>IF(V144='SMSF Servicing Calculator'!$D$14,0,IF(('SMSF Servicing Calculator'!$D$14-V144)&gt;R145,R145,('SMSF Servicing Calculator'!$D$14-V144)))</f>
        <v>0</v>
      </c>
      <c r="V145" s="50">
        <f>V144+U145</f>
        <v>0</v>
      </c>
      <c r="W145" s="50">
        <f>U145*S145</f>
        <v>0</v>
      </c>
      <c r="X145" s="51"/>
      <c r="Y145" s="50">
        <f>U145-W145</f>
        <v>0</v>
      </c>
    </row>
    <row r="146" spans="16:25" ht="13.5" thickBot="1">
      <c r="P146" s="48"/>
      <c r="Q146" s="48"/>
      <c r="R146" s="46"/>
      <c r="S146" s="52" t="s">
        <v>59</v>
      </c>
      <c r="T146" s="44"/>
      <c r="U146" s="50">
        <f>SUM(U144:U145)</f>
        <v>0</v>
      </c>
      <c r="V146" s="50"/>
      <c r="W146" s="50">
        <f>SUM(W144:W145)</f>
        <v>0</v>
      </c>
      <c r="X146" s="51"/>
      <c r="Y146" s="50">
        <f>SUM(Y144:Y145)</f>
        <v>0</v>
      </c>
    </row>
    <row r="147" spans="16:25" ht="13.5" thickBot="1">
      <c r="P147" s="49"/>
      <c r="Q147" s="46"/>
      <c r="R147" s="46"/>
      <c r="T147" s="44"/>
      <c r="U147" s="43"/>
      <c r="V147" s="43"/>
      <c r="W147" s="43"/>
      <c r="X147" s="43"/>
      <c r="Y147" s="43"/>
    </row>
    <row r="148" spans="16:25" ht="13.5" thickBot="1">
      <c r="P148" s="48"/>
      <c r="Q148" s="47"/>
      <c r="R148" s="46"/>
      <c r="S148" s="45"/>
      <c r="T148" s="44"/>
      <c r="U148" s="43"/>
      <c r="V148" s="43"/>
      <c r="W148" s="42" t="s">
        <v>33</v>
      </c>
      <c r="X148" s="41"/>
      <c r="Y148" s="40">
        <f>(Y146/12)</f>
        <v>0</v>
      </c>
    </row>
    <row r="150" spans="16:25">
      <c r="P150" s="92" t="s">
        <v>65</v>
      </c>
      <c r="Q150" s="90"/>
      <c r="R150" s="90"/>
      <c r="S150" s="90"/>
      <c r="T150" s="90"/>
      <c r="U150" s="90"/>
      <c r="V150" s="90"/>
      <c r="W150" s="91"/>
      <c r="X150" s="91"/>
      <c r="Y150" s="91"/>
    </row>
    <row r="151" spans="16:25" ht="13.5" thickBot="1">
      <c r="P151" s="57" t="s">
        <v>64</v>
      </c>
      <c r="Q151" s="57"/>
      <c r="R151" s="46"/>
      <c r="S151" s="57" t="s">
        <v>63</v>
      </c>
      <c r="T151" s="46"/>
      <c r="U151" s="56" t="s">
        <v>62</v>
      </c>
      <c r="V151" s="56"/>
      <c r="W151" s="56" t="s">
        <v>61</v>
      </c>
      <c r="X151" s="56"/>
      <c r="Y151" s="56" t="s">
        <v>60</v>
      </c>
    </row>
    <row r="152" spans="16:25" ht="13.5" thickBot="1">
      <c r="P152" s="43">
        <v>1</v>
      </c>
      <c r="Q152" s="43">
        <v>25000</v>
      </c>
      <c r="R152" s="54">
        <f>Q152-P152+1</f>
        <v>25000</v>
      </c>
      <c r="S152" s="55">
        <f>S128</f>
        <v>0.15</v>
      </c>
      <c r="T152" s="44"/>
      <c r="U152" s="50">
        <f>IF('SMSF Servicing Calculator'!D15&lt;Q152,'SMSF Servicing Calculator'!D15,R152)</f>
        <v>0</v>
      </c>
      <c r="V152" s="50">
        <f>U152</f>
        <v>0</v>
      </c>
      <c r="W152" s="50">
        <f>U152*S152</f>
        <v>0</v>
      </c>
      <c r="X152" s="51"/>
      <c r="Y152" s="50">
        <f>V152-W152</f>
        <v>0</v>
      </c>
    </row>
    <row r="153" spans="16:25" ht="13.5" thickBot="1">
      <c r="P153" s="43">
        <v>25001</v>
      </c>
      <c r="Q153" s="43">
        <v>10000000</v>
      </c>
      <c r="R153" s="54">
        <f>Q153-P153+1</f>
        <v>9975000</v>
      </c>
      <c r="S153" s="53">
        <f>S129</f>
        <v>0.47</v>
      </c>
      <c r="T153" s="44"/>
      <c r="U153" s="50">
        <f>IF(V152='SMSF Servicing Calculator'!$D$15,0,IF(('SMSF Servicing Calculator'!$D$15-V152)&gt;R153,R153,('SMSF Servicing Calculator'!$D$15-V152)))</f>
        <v>0</v>
      </c>
      <c r="V153" s="50">
        <f>V152+U153</f>
        <v>0</v>
      </c>
      <c r="W153" s="50">
        <f>U153*S153</f>
        <v>0</v>
      </c>
      <c r="X153" s="51"/>
      <c r="Y153" s="50">
        <f>U153-W153</f>
        <v>0</v>
      </c>
    </row>
    <row r="154" spans="16:25" ht="13.5" thickBot="1">
      <c r="P154" s="48"/>
      <c r="Q154" s="48"/>
      <c r="R154" s="46"/>
      <c r="S154" s="52" t="s">
        <v>59</v>
      </c>
      <c r="T154" s="44"/>
      <c r="U154" s="50">
        <f>SUM(U152:U153)</f>
        <v>0</v>
      </c>
      <c r="V154" s="50"/>
      <c r="W154" s="50">
        <f>SUM(W152:W153)</f>
        <v>0</v>
      </c>
      <c r="X154" s="51"/>
      <c r="Y154" s="50">
        <f>SUM(Y152:Y153)</f>
        <v>0</v>
      </c>
    </row>
    <row r="155" spans="16:25" ht="13.5" thickBot="1">
      <c r="P155" s="49"/>
      <c r="Q155" s="46"/>
      <c r="R155" s="46"/>
      <c r="T155" s="44"/>
      <c r="U155" s="43"/>
      <c r="V155" s="43"/>
      <c r="W155" s="43"/>
      <c r="X155" s="43"/>
      <c r="Y155" s="43"/>
    </row>
    <row r="156" spans="16:25" ht="13.5" thickBot="1">
      <c r="P156" s="48"/>
      <c r="Q156" s="47"/>
      <c r="R156" s="46"/>
      <c r="S156" s="45"/>
      <c r="T156" s="44"/>
      <c r="U156" s="43"/>
      <c r="V156" s="43"/>
      <c r="W156" s="42" t="s">
        <v>33</v>
      </c>
      <c r="X156" s="41"/>
      <c r="Y156" s="40">
        <f>(Y154/12)</f>
        <v>0</v>
      </c>
    </row>
  </sheetData>
  <sheetProtection algorithmName="SHA-512" hashValue="L3XnIvVGQ19yhOhWzRc2o2WrCnilBnpLddhCQaApF4qjUV61Xbpcnnw2RnFZ8nJu7LIlScpdLcuLs3Qtqy0H/A==" saltValue="/kj14LmfA0Rim6UfIZGaew==" spinCount="100000" sheet="1" objects="1" scenarios="1"/>
  <phoneticPr fontId="95" type="noConversion"/>
  <printOptions gridLines="1" gridLinesSet="0"/>
  <pageMargins left="0.75" right="0.75" top="1" bottom="1" header="0.51181102300000003" footer="0.51181102300000003"/>
  <pageSetup paperSize="9"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21B0A-1014-448D-9208-FB5C0D4941A9}">
  <sheetPr codeName="Sheet22">
    <pageSetUpPr fitToPage="1"/>
  </sheetPr>
  <dimension ref="B4:S99"/>
  <sheetViews>
    <sheetView topLeftCell="B5" workbookViewId="0">
      <selection activeCell="P6" sqref="P6"/>
    </sheetView>
  </sheetViews>
  <sheetFormatPr defaultColWidth="9.140625" defaultRowHeight="12.75"/>
  <cols>
    <col min="1" max="1" width="9.140625" style="93"/>
    <col min="2" max="2" width="28.28515625" style="93" customWidth="1"/>
    <col min="3" max="3" width="16.140625" style="93" bestFit="1" customWidth="1"/>
    <col min="4" max="16" width="12.140625" style="93" customWidth="1"/>
    <col min="17" max="18" width="9.140625" style="93"/>
    <col min="19" max="19" width="10.28515625" style="93" bestFit="1" customWidth="1"/>
    <col min="20" max="16384" width="9.140625" style="93"/>
  </cols>
  <sheetData>
    <row r="4" spans="2:16" ht="28.5">
      <c r="D4" s="95" t="s">
        <v>189</v>
      </c>
    </row>
    <row r="5" spans="2:16">
      <c r="F5" s="118" t="s">
        <v>188</v>
      </c>
      <c r="P5" s="93" t="s">
        <v>1047</v>
      </c>
    </row>
    <row r="6" spans="2:16">
      <c r="H6" s="117" t="s">
        <v>185</v>
      </c>
    </row>
    <row r="7" spans="2:16" ht="15">
      <c r="B7" s="93" t="s">
        <v>170</v>
      </c>
      <c r="C7" s="126" t="s">
        <v>210</v>
      </c>
      <c r="D7" s="126" t="s">
        <v>211</v>
      </c>
      <c r="E7" s="126" t="s">
        <v>212</v>
      </c>
      <c r="F7" s="126" t="s">
        <v>213</v>
      </c>
      <c r="G7" s="126" t="s">
        <v>214</v>
      </c>
      <c r="H7" s="126" t="s">
        <v>215</v>
      </c>
      <c r="I7" s="126" t="s">
        <v>216</v>
      </c>
      <c r="J7" s="126" t="s">
        <v>217</v>
      </c>
      <c r="K7" s="126" t="s">
        <v>218</v>
      </c>
      <c r="L7" s="126" t="s">
        <v>219</v>
      </c>
      <c r="M7" s="126" t="s">
        <v>220</v>
      </c>
      <c r="N7" s="126" t="s">
        <v>221</v>
      </c>
      <c r="O7" s="126" t="s">
        <v>222</v>
      </c>
      <c r="P7" s="126" t="s">
        <v>922</v>
      </c>
    </row>
    <row r="8" spans="2:16" ht="14.25">
      <c r="C8" s="101"/>
      <c r="D8" s="101"/>
      <c r="E8" s="101"/>
      <c r="F8" s="102" t="s">
        <v>169</v>
      </c>
      <c r="G8" s="101"/>
      <c r="H8" s="101"/>
      <c r="I8" s="101"/>
      <c r="J8" s="101"/>
      <c r="K8" s="101"/>
      <c r="L8" s="101"/>
      <c r="M8" s="101"/>
      <c r="N8" s="101"/>
      <c r="O8" s="101"/>
      <c r="P8" s="101"/>
    </row>
    <row r="9" spans="2:16" ht="14.25">
      <c r="C9" s="141">
        <v>-9999999999</v>
      </c>
      <c r="D9" s="463">
        <v>26000</v>
      </c>
      <c r="E9" s="463">
        <v>39000</v>
      </c>
      <c r="F9" s="463">
        <v>51000</v>
      </c>
      <c r="G9" s="463">
        <v>64000</v>
      </c>
      <c r="H9" s="463">
        <v>77000</v>
      </c>
      <c r="I9" s="463">
        <v>103000</v>
      </c>
      <c r="J9" s="463">
        <v>129000</v>
      </c>
      <c r="K9" s="463">
        <v>154000</v>
      </c>
      <c r="L9" s="463">
        <v>180000</v>
      </c>
      <c r="M9" s="463">
        <v>206000</v>
      </c>
      <c r="N9" s="463">
        <v>257000</v>
      </c>
      <c r="O9" s="463">
        <v>321000</v>
      </c>
      <c r="P9" s="463">
        <v>386000</v>
      </c>
    </row>
    <row r="10" spans="2:16" ht="14.25">
      <c r="C10" s="142" t="s">
        <v>168</v>
      </c>
      <c r="D10" s="393" t="s">
        <v>167</v>
      </c>
      <c r="E10" s="393" t="s">
        <v>167</v>
      </c>
      <c r="F10" s="393" t="s">
        <v>167</v>
      </c>
      <c r="G10" s="393" t="s">
        <v>167</v>
      </c>
      <c r="H10" s="393" t="s">
        <v>167</v>
      </c>
      <c r="I10" s="393" t="s">
        <v>167</v>
      </c>
      <c r="J10" s="393" t="s">
        <v>167</v>
      </c>
      <c r="K10" s="393" t="s">
        <v>167</v>
      </c>
      <c r="L10" s="393" t="s">
        <v>167</v>
      </c>
      <c r="M10" s="393" t="s">
        <v>167</v>
      </c>
      <c r="N10" s="393" t="s">
        <v>167</v>
      </c>
      <c r="O10" s="393" t="s">
        <v>167</v>
      </c>
      <c r="P10" s="393" t="s">
        <v>167</v>
      </c>
    </row>
    <row r="11" spans="2:16" ht="14.25">
      <c r="C11" s="143"/>
      <c r="D11" s="464">
        <v>39000</v>
      </c>
      <c r="E11" s="464">
        <v>51000</v>
      </c>
      <c r="F11" s="464">
        <v>64000</v>
      </c>
      <c r="G11" s="464">
        <v>77000</v>
      </c>
      <c r="H11" s="464">
        <v>103000</v>
      </c>
      <c r="I11" s="464">
        <v>129000</v>
      </c>
      <c r="J11" s="464">
        <v>154000</v>
      </c>
      <c r="K11" s="464">
        <v>180000</v>
      </c>
      <c r="L11" s="464">
        <v>206000</v>
      </c>
      <c r="M11" s="464">
        <v>257000</v>
      </c>
      <c r="N11" s="464">
        <v>321000</v>
      </c>
      <c r="O11" s="464">
        <v>386000</v>
      </c>
      <c r="P11" s="464">
        <v>643000</v>
      </c>
    </row>
    <row r="12" spans="2:16" ht="28.5">
      <c r="B12" s="95" t="s">
        <v>166</v>
      </c>
      <c r="L12" s="105"/>
      <c r="M12" s="105"/>
      <c r="N12" s="105"/>
      <c r="O12" s="105"/>
      <c r="P12" s="105"/>
    </row>
    <row r="13" spans="2:16" ht="15">
      <c r="B13" t="s">
        <v>165</v>
      </c>
      <c r="C13" s="461">
        <f>D13</f>
        <v>586.7481415313498</v>
      </c>
      <c r="D13" s="461">
        <v>586.7481415313498</v>
      </c>
      <c r="E13" s="461">
        <v>603.34424814431554</v>
      </c>
      <c r="F13" s="461">
        <v>627.46464943361048</v>
      </c>
      <c r="G13" s="461">
        <v>668.9426667324027</v>
      </c>
      <c r="H13" s="461">
        <v>732.47262512607142</v>
      </c>
      <c r="I13" s="461">
        <v>811.65253829743608</v>
      </c>
      <c r="J13" s="461">
        <v>885.36899811115848</v>
      </c>
      <c r="K13" s="461">
        <v>967.66327893090215</v>
      </c>
      <c r="L13" s="461">
        <v>1010.4808809045049</v>
      </c>
      <c r="M13" s="461">
        <v>1073.3002084955115</v>
      </c>
      <c r="N13" s="461">
        <v>1196.7851384864184</v>
      </c>
      <c r="O13" s="461">
        <v>1343.3383270100026</v>
      </c>
      <c r="P13" s="461">
        <v>1380.7263454948334</v>
      </c>
    </row>
    <row r="14" spans="2:16" ht="15">
      <c r="B14" t="s">
        <v>164</v>
      </c>
      <c r="C14" s="461">
        <f>E14</f>
        <v>693.53649798451374</v>
      </c>
      <c r="D14" s="461">
        <f>E14</f>
        <v>693.53649798451374</v>
      </c>
      <c r="E14" s="461">
        <v>693.53649798451374</v>
      </c>
      <c r="F14" s="461">
        <v>717.77593722414645</v>
      </c>
      <c r="G14" s="461">
        <v>759.45861647129084</v>
      </c>
      <c r="H14" s="461">
        <v>823.30198555000743</v>
      </c>
      <c r="I14" s="461">
        <v>902.87260976072366</v>
      </c>
      <c r="J14" s="461">
        <v>976.95276830028536</v>
      </c>
      <c r="K14" s="461">
        <v>1059.6531449986564</v>
      </c>
      <c r="L14" s="461">
        <v>1102.6819350119947</v>
      </c>
      <c r="M14" s="461">
        <v>1165.8113060732046</v>
      </c>
      <c r="N14" s="461">
        <v>1289.9055111304517</v>
      </c>
      <c r="O14" s="461">
        <v>1437.1816823547967</v>
      </c>
      <c r="P14" s="461">
        <v>1474.7542846825015</v>
      </c>
    </row>
    <row r="15" spans="2:16" ht="15">
      <c r="B15" t="s">
        <v>163</v>
      </c>
      <c r="C15" s="461">
        <f>D15</f>
        <v>765.24761764872619</v>
      </c>
      <c r="D15" s="461">
        <f>E15</f>
        <v>765.24761764872619</v>
      </c>
      <c r="E15" s="461">
        <v>765.24761764872619</v>
      </c>
      <c r="F15" s="461">
        <v>789.42586393582542</v>
      </c>
      <c r="G15" s="461">
        <v>831.00334362643264</v>
      </c>
      <c r="H15" s="461">
        <v>894.68563038364346</v>
      </c>
      <c r="I15" s="461">
        <v>974.05546800575894</v>
      </c>
      <c r="J15" s="461">
        <v>1047.9486759731176</v>
      </c>
      <c r="K15" s="461">
        <v>1130.4403870330402</v>
      </c>
      <c r="L15" s="461">
        <v>1173.360599238373</v>
      </c>
      <c r="M15" s="461">
        <v>1236.3306711715236</v>
      </c>
      <c r="N15" s="461">
        <v>1360.1117399131299</v>
      </c>
      <c r="O15" s="461">
        <v>1507.016278009098</v>
      </c>
      <c r="P15" s="461">
        <v>1544.4940335570741</v>
      </c>
    </row>
    <row r="16" spans="2:16" ht="15">
      <c r="B16" t="s">
        <v>162</v>
      </c>
      <c r="C16" s="461">
        <f>F16</f>
        <v>848.64940553620681</v>
      </c>
      <c r="D16" s="461">
        <f>F16</f>
        <v>848.64940553620681</v>
      </c>
      <c r="E16" s="461">
        <f>F16</f>
        <v>848.64940553620681</v>
      </c>
      <c r="F16" s="461">
        <v>848.64940553620681</v>
      </c>
      <c r="G16" s="461">
        <v>889.88733939233111</v>
      </c>
      <c r="H16" s="461">
        <v>953.04958655966095</v>
      </c>
      <c r="I16" s="461">
        <v>1031.7711539797426</v>
      </c>
      <c r="J16" s="461">
        <v>1105.0608745204111</v>
      </c>
      <c r="K16" s="461">
        <v>1186.8788556521695</v>
      </c>
      <c r="L16" s="461">
        <v>1229.4485375566901</v>
      </c>
      <c r="M16" s="461">
        <v>1291.9043315512481</v>
      </c>
      <c r="N16" s="461">
        <v>1414.6744776288822</v>
      </c>
      <c r="O16" s="461">
        <v>1560.379279868557</v>
      </c>
      <c r="P16" s="461">
        <v>1597.5509537768814</v>
      </c>
    </row>
    <row r="17" spans="2:19" ht="15">
      <c r="B17" s="140" t="s">
        <v>161</v>
      </c>
      <c r="C17" s="139">
        <f>D17</f>
        <v>907.87294713658821</v>
      </c>
      <c r="D17" s="139">
        <f>E17</f>
        <v>907.87294713658821</v>
      </c>
      <c r="E17" s="139">
        <f>F17</f>
        <v>907.87294713658821</v>
      </c>
      <c r="F17" s="454">
        <f>F16+(F16-F15)</f>
        <v>907.87294713658821</v>
      </c>
      <c r="G17" s="454">
        <f t="shared" ref="G17:P17" si="0">G16+(G16-G15)</f>
        <v>948.77133515822959</v>
      </c>
      <c r="H17" s="454">
        <f t="shared" si="0"/>
        <v>1011.4135427356784</v>
      </c>
      <c r="I17" s="454">
        <f t="shared" si="0"/>
        <v>1089.4868399537263</v>
      </c>
      <c r="J17" s="454">
        <f t="shared" si="0"/>
        <v>1162.1730730677045</v>
      </c>
      <c r="K17" s="454">
        <f t="shared" si="0"/>
        <v>1243.3173242712987</v>
      </c>
      <c r="L17" s="454">
        <f t="shared" si="0"/>
        <v>1285.5364758750072</v>
      </c>
      <c r="M17" s="454">
        <f t="shared" si="0"/>
        <v>1347.4779919309726</v>
      </c>
      <c r="N17" s="454">
        <f t="shared" si="0"/>
        <v>1469.2372153446345</v>
      </c>
      <c r="O17" s="454">
        <f t="shared" si="0"/>
        <v>1613.742281728016</v>
      </c>
      <c r="P17" s="454">
        <f t="shared" si="0"/>
        <v>1650.6078739966888</v>
      </c>
    </row>
    <row r="18" spans="2:19" ht="15">
      <c r="B18" s="140" t="s">
        <v>160</v>
      </c>
      <c r="C18" s="139">
        <f t="shared" ref="C18:F23" si="1">C17+(C17-C16)</f>
        <v>967.0964887369696</v>
      </c>
      <c r="D18" s="139">
        <f t="shared" si="1"/>
        <v>967.0964887369696</v>
      </c>
      <c r="E18" s="139">
        <f t="shared" si="1"/>
        <v>967.0964887369696</v>
      </c>
      <c r="F18" s="139">
        <f t="shared" si="1"/>
        <v>967.0964887369696</v>
      </c>
      <c r="G18" s="139">
        <f t="shared" ref="G18:K23" si="2">G17+(G17-G16)</f>
        <v>1007.6553309241281</v>
      </c>
      <c r="H18" s="139">
        <f t="shared" si="2"/>
        <v>1069.7774989116961</v>
      </c>
      <c r="I18" s="139">
        <f t="shared" si="2"/>
        <v>1147.20252592771</v>
      </c>
      <c r="J18" s="139">
        <f t="shared" si="2"/>
        <v>1219.285271614998</v>
      </c>
      <c r="K18" s="139">
        <f t="shared" si="2"/>
        <v>1299.755792890428</v>
      </c>
      <c r="L18" s="139">
        <f t="shared" ref="L18:P23" si="3">L17+(L17-L16)</f>
        <v>1341.6244141933244</v>
      </c>
      <c r="M18" s="139">
        <f t="shared" si="3"/>
        <v>1403.0516523106971</v>
      </c>
      <c r="N18" s="139">
        <f t="shared" si="3"/>
        <v>1523.7999530603868</v>
      </c>
      <c r="O18" s="139">
        <f t="shared" si="3"/>
        <v>1667.105283587475</v>
      </c>
      <c r="P18" s="139">
        <f t="shared" si="3"/>
        <v>1703.6647942164961</v>
      </c>
    </row>
    <row r="19" spans="2:19" ht="15">
      <c r="B19" s="140" t="s">
        <v>159</v>
      </c>
      <c r="C19" s="139">
        <f t="shared" si="1"/>
        <v>1026.320030337351</v>
      </c>
      <c r="D19" s="139">
        <f t="shared" si="1"/>
        <v>1026.320030337351</v>
      </c>
      <c r="E19" s="139">
        <f t="shared" si="1"/>
        <v>1026.320030337351</v>
      </c>
      <c r="F19" s="139">
        <f t="shared" si="1"/>
        <v>1026.320030337351</v>
      </c>
      <c r="G19" s="139">
        <f t="shared" si="2"/>
        <v>1066.5393266900264</v>
      </c>
      <c r="H19" s="139">
        <f t="shared" si="2"/>
        <v>1128.1414550877137</v>
      </c>
      <c r="I19" s="139">
        <f t="shared" si="2"/>
        <v>1204.9182119016937</v>
      </c>
      <c r="J19" s="139">
        <f t="shared" si="2"/>
        <v>1276.3974701622915</v>
      </c>
      <c r="K19" s="139">
        <f t="shared" si="2"/>
        <v>1356.1942615095572</v>
      </c>
      <c r="L19" s="139">
        <f t="shared" si="3"/>
        <v>1397.7123525116415</v>
      </c>
      <c r="M19" s="139">
        <f t="shared" si="3"/>
        <v>1458.6253126904217</v>
      </c>
      <c r="N19" s="139">
        <f t="shared" si="3"/>
        <v>1578.3626907761391</v>
      </c>
      <c r="O19" s="139">
        <f t="shared" si="3"/>
        <v>1720.468285446934</v>
      </c>
      <c r="P19" s="139">
        <f>P18+(P18-P17)</f>
        <v>1756.7217144363035</v>
      </c>
    </row>
    <row r="20" spans="2:19" ht="15">
      <c r="B20" s="140" t="s">
        <v>158</v>
      </c>
      <c r="C20" s="139">
        <f t="shared" si="1"/>
        <v>1085.5435719377324</v>
      </c>
      <c r="D20" s="139">
        <f t="shared" si="1"/>
        <v>1085.5435719377324</v>
      </c>
      <c r="E20" s="139">
        <f t="shared" si="1"/>
        <v>1085.5435719377324</v>
      </c>
      <c r="F20" s="139">
        <f t="shared" si="1"/>
        <v>1085.5435719377324</v>
      </c>
      <c r="G20" s="139">
        <f t="shared" si="2"/>
        <v>1125.4233224559248</v>
      </c>
      <c r="H20" s="139">
        <f t="shared" si="2"/>
        <v>1186.5054112637313</v>
      </c>
      <c r="I20" s="139">
        <f t="shared" si="2"/>
        <v>1262.6338978756773</v>
      </c>
      <c r="J20" s="139">
        <f t="shared" si="2"/>
        <v>1333.509668709585</v>
      </c>
      <c r="K20" s="139">
        <f t="shared" si="2"/>
        <v>1412.6327301286865</v>
      </c>
      <c r="L20" s="139">
        <f t="shared" si="3"/>
        <v>1453.8002908299586</v>
      </c>
      <c r="M20" s="139">
        <f t="shared" si="3"/>
        <v>1514.1989730701462</v>
      </c>
      <c r="N20" s="139">
        <f t="shared" si="3"/>
        <v>1632.9254284918914</v>
      </c>
      <c r="O20" s="139">
        <f t="shared" si="3"/>
        <v>1773.8312873063931</v>
      </c>
      <c r="P20" s="139">
        <f t="shared" si="3"/>
        <v>1809.7786346561109</v>
      </c>
    </row>
    <row r="21" spans="2:19" ht="15">
      <c r="B21" s="140" t="s">
        <v>157</v>
      </c>
      <c r="C21" s="139">
        <f t="shared" si="1"/>
        <v>1144.7671135381138</v>
      </c>
      <c r="D21" s="139">
        <f t="shared" si="1"/>
        <v>1144.7671135381138</v>
      </c>
      <c r="E21" s="139">
        <f t="shared" si="1"/>
        <v>1144.7671135381138</v>
      </c>
      <c r="F21" s="139">
        <f t="shared" si="1"/>
        <v>1144.7671135381138</v>
      </c>
      <c r="G21" s="139">
        <f t="shared" si="2"/>
        <v>1184.3073182218232</v>
      </c>
      <c r="H21" s="139">
        <f t="shared" si="2"/>
        <v>1244.8693674397489</v>
      </c>
      <c r="I21" s="139">
        <f t="shared" si="2"/>
        <v>1320.349583849661</v>
      </c>
      <c r="J21" s="139">
        <f t="shared" si="2"/>
        <v>1390.6218672568784</v>
      </c>
      <c r="K21" s="139">
        <f t="shared" si="2"/>
        <v>1469.0711987478157</v>
      </c>
      <c r="L21" s="139">
        <f t="shared" si="3"/>
        <v>1509.8882291482757</v>
      </c>
      <c r="M21" s="139">
        <f t="shared" si="3"/>
        <v>1569.7726334498707</v>
      </c>
      <c r="N21" s="139">
        <f t="shared" si="3"/>
        <v>1687.4881662076436</v>
      </c>
      <c r="O21" s="139">
        <f t="shared" si="3"/>
        <v>1827.1942891658521</v>
      </c>
      <c r="P21" s="139">
        <f t="shared" si="3"/>
        <v>1862.8355548759182</v>
      </c>
    </row>
    <row r="22" spans="2:19" ht="15">
      <c r="B22" s="140" t="s">
        <v>156</v>
      </c>
      <c r="C22" s="139">
        <f t="shared" si="1"/>
        <v>1203.9906551384952</v>
      </c>
      <c r="D22" s="139">
        <f t="shared" si="1"/>
        <v>1203.9906551384952</v>
      </c>
      <c r="E22" s="139">
        <f t="shared" si="1"/>
        <v>1203.9906551384952</v>
      </c>
      <c r="F22" s="139">
        <f t="shared" si="1"/>
        <v>1203.9906551384952</v>
      </c>
      <c r="G22" s="139">
        <f t="shared" si="2"/>
        <v>1243.1913139877215</v>
      </c>
      <c r="H22" s="139">
        <f t="shared" si="2"/>
        <v>1303.2333236157665</v>
      </c>
      <c r="I22" s="139">
        <f t="shared" si="2"/>
        <v>1378.0652698236447</v>
      </c>
      <c r="J22" s="139">
        <f t="shared" si="2"/>
        <v>1447.7340658041719</v>
      </c>
      <c r="K22" s="139">
        <f t="shared" si="2"/>
        <v>1525.509667366945</v>
      </c>
      <c r="L22" s="139">
        <f t="shared" si="3"/>
        <v>1565.9761674665929</v>
      </c>
      <c r="M22" s="139">
        <f t="shared" si="3"/>
        <v>1625.3462938295952</v>
      </c>
      <c r="N22" s="139">
        <f t="shared" si="3"/>
        <v>1742.0509039233959</v>
      </c>
      <c r="O22" s="139">
        <f t="shared" si="3"/>
        <v>1880.5572910253111</v>
      </c>
      <c r="P22" s="139">
        <f>P21+(P21-P20)</f>
        <v>1915.8924750957256</v>
      </c>
    </row>
    <row r="23" spans="2:19" ht="15">
      <c r="B23" s="140" t="s">
        <v>155</v>
      </c>
      <c r="C23" s="139">
        <f t="shared" si="1"/>
        <v>1263.2141967388766</v>
      </c>
      <c r="D23" s="139">
        <f t="shared" si="1"/>
        <v>1263.2141967388766</v>
      </c>
      <c r="E23" s="139">
        <f t="shared" si="1"/>
        <v>1263.2141967388766</v>
      </c>
      <c r="F23" s="139">
        <f t="shared" si="1"/>
        <v>1263.2141967388766</v>
      </c>
      <c r="G23" s="139">
        <f t="shared" si="2"/>
        <v>1302.0753097536199</v>
      </c>
      <c r="H23" s="139">
        <f t="shared" si="2"/>
        <v>1361.5972797917841</v>
      </c>
      <c r="I23" s="139">
        <f t="shared" si="2"/>
        <v>1435.7809557976284</v>
      </c>
      <c r="J23" s="139">
        <f t="shared" si="2"/>
        <v>1504.8462643514654</v>
      </c>
      <c r="K23" s="139">
        <f t="shared" si="2"/>
        <v>1581.9481359860742</v>
      </c>
      <c r="L23" s="139">
        <f t="shared" si="3"/>
        <v>1622.06410578491</v>
      </c>
      <c r="M23" s="139">
        <f t="shared" si="3"/>
        <v>1680.9199542093197</v>
      </c>
      <c r="N23" s="139">
        <f t="shared" si="3"/>
        <v>1796.6136416391482</v>
      </c>
      <c r="O23" s="139">
        <f t="shared" si="3"/>
        <v>1933.9202928847701</v>
      </c>
      <c r="P23" s="139">
        <f t="shared" si="3"/>
        <v>1968.9493953155329</v>
      </c>
    </row>
    <row r="24" spans="2:19" ht="15">
      <c r="B24" t="s">
        <v>154</v>
      </c>
      <c r="C24" s="461">
        <v>302.31524134513808</v>
      </c>
      <c r="D24" s="461">
        <v>316.98623433131911</v>
      </c>
      <c r="E24" s="461">
        <v>333.48732011992109</v>
      </c>
      <c r="F24" s="461">
        <v>357.46962741117136</v>
      </c>
      <c r="G24" s="461">
        <v>398.71015590703479</v>
      </c>
      <c r="H24" s="461">
        <v>461.87637501714954</v>
      </c>
      <c r="I24" s="461">
        <v>540.60288591231256</v>
      </c>
      <c r="J24" s="461">
        <v>613.89727175603059</v>
      </c>
      <c r="K24" s="461">
        <v>695.7203915296966</v>
      </c>
      <c r="L24" s="461">
        <v>738.29277494149756</v>
      </c>
      <c r="M24" s="461">
        <v>800.75246883810553</v>
      </c>
      <c r="N24" s="461">
        <v>923.53035311290159</v>
      </c>
      <c r="O24" s="461">
        <v>1069.2443758041836</v>
      </c>
      <c r="P24" s="461">
        <v>1106.4183926415567</v>
      </c>
    </row>
    <row r="25" spans="2:19" ht="15">
      <c r="B25" t="s">
        <v>153</v>
      </c>
      <c r="C25" s="461">
        <f>D25</f>
        <v>418.7843568683075</v>
      </c>
      <c r="D25" s="461">
        <v>418.7843568683075</v>
      </c>
      <c r="E25" s="461">
        <v>435.31628507404747</v>
      </c>
      <c r="F25" s="461">
        <v>459.3434042590867</v>
      </c>
      <c r="G25" s="461">
        <v>500.66101142673813</v>
      </c>
      <c r="H25" s="461">
        <v>563.9452770505743</v>
      </c>
      <c r="I25" s="461">
        <v>642.81898274201399</v>
      </c>
      <c r="J25" s="461">
        <v>716.25031823734048</v>
      </c>
      <c r="K25" s="461">
        <v>798.22641153539462</v>
      </c>
      <c r="L25" s="461">
        <v>840.87834922596858</v>
      </c>
      <c r="M25" s="461">
        <v>903.45476905984412</v>
      </c>
      <c r="N25" s="461">
        <v>1026.4621208703993</v>
      </c>
      <c r="O25" s="461">
        <v>1172.4485364930315</v>
      </c>
      <c r="P25" s="461">
        <v>1209.69196231556</v>
      </c>
    </row>
    <row r="26" spans="2:19" ht="15">
      <c r="B26" t="s">
        <v>152</v>
      </c>
      <c r="C26" s="461">
        <f>D26</f>
        <v>530.70800368721098</v>
      </c>
      <c r="D26" s="461">
        <v>530.70800368721098</v>
      </c>
      <c r="E26" s="461">
        <v>547.33683506119257</v>
      </c>
      <c r="F26" s="461">
        <v>571.50479776872942</v>
      </c>
      <c r="G26" s="461">
        <v>613.06460281661111</v>
      </c>
      <c r="H26" s="461">
        <v>676.71983171825366</v>
      </c>
      <c r="I26" s="461">
        <v>756.05587450460791</v>
      </c>
      <c r="J26" s="461">
        <v>829.91769091229617</v>
      </c>
      <c r="K26" s="461">
        <v>912.3742793299034</v>
      </c>
      <c r="L26" s="461">
        <v>955.2762365546306</v>
      </c>
      <c r="M26" s="461">
        <v>1018.219507343968</v>
      </c>
      <c r="N26" s="461">
        <v>1141.9479475556752</v>
      </c>
      <c r="O26" s="461">
        <v>1288.7900036797223</v>
      </c>
      <c r="P26" s="461">
        <v>1326.2518560205667</v>
      </c>
      <c r="S26" s="465"/>
    </row>
    <row r="27" spans="2:19" ht="15">
      <c r="B27" t="s">
        <v>151</v>
      </c>
      <c r="C27" s="461">
        <f>E27</f>
        <v>659.35738504833762</v>
      </c>
      <c r="D27" s="461">
        <f>E27</f>
        <v>659.35738504833762</v>
      </c>
      <c r="E27" s="461">
        <v>659.35738504833762</v>
      </c>
      <c r="F27" s="461">
        <v>683.66619127837214</v>
      </c>
      <c r="G27" s="461">
        <v>725.4681942064841</v>
      </c>
      <c r="H27" s="461">
        <v>789.49438638593301</v>
      </c>
      <c r="I27" s="461">
        <v>869.29276626720184</v>
      </c>
      <c r="J27" s="461">
        <v>943.58506358725185</v>
      </c>
      <c r="K27" s="461">
        <v>1026.5221471244122</v>
      </c>
      <c r="L27" s="461">
        <v>1069.6741238832926</v>
      </c>
      <c r="M27" s="461">
        <v>1132.9842456280917</v>
      </c>
      <c r="N27" s="461">
        <v>1257.4337742409512</v>
      </c>
      <c r="O27" s="461">
        <v>1405.1314708664131</v>
      </c>
      <c r="P27" s="461">
        <v>1442.8117497255735</v>
      </c>
    </row>
    <row r="28" spans="2:19" ht="15">
      <c r="B28" s="140" t="s">
        <v>150</v>
      </c>
      <c r="C28" s="139">
        <f>D28</f>
        <v>771.37793503548266</v>
      </c>
      <c r="D28" s="139">
        <f>E28</f>
        <v>771.37793503548266</v>
      </c>
      <c r="E28" s="139">
        <f t="shared" ref="E28:P34" si="4">E27+(E27-E26)</f>
        <v>771.37793503548266</v>
      </c>
      <c r="F28" s="139">
        <f t="shared" si="4"/>
        <v>795.82758478801486</v>
      </c>
      <c r="G28" s="139">
        <f t="shared" si="4"/>
        <v>837.87178559635709</v>
      </c>
      <c r="H28" s="139">
        <f t="shared" si="4"/>
        <v>902.26894105361237</v>
      </c>
      <c r="I28" s="139">
        <f t="shared" si="4"/>
        <v>982.52965802979577</v>
      </c>
      <c r="J28" s="139">
        <f t="shared" si="4"/>
        <v>1057.2524362622075</v>
      </c>
      <c r="K28" s="139">
        <f t="shared" si="4"/>
        <v>1140.670014918921</v>
      </c>
      <c r="L28" s="139">
        <f t="shared" si="4"/>
        <v>1184.0720112119548</v>
      </c>
      <c r="M28" s="139">
        <f t="shared" si="4"/>
        <v>1247.7489839122154</v>
      </c>
      <c r="N28" s="139">
        <f t="shared" si="4"/>
        <v>1372.9196009262271</v>
      </c>
      <c r="O28" s="139">
        <f>O27+(O27-O26)</f>
        <v>1521.4729380531039</v>
      </c>
      <c r="P28" s="139">
        <f>P27+(P27-P26)</f>
        <v>1559.3716434305802</v>
      </c>
      <c r="S28" s="465"/>
    </row>
    <row r="29" spans="2:19" ht="15">
      <c r="B29" s="140" t="s">
        <v>149</v>
      </c>
      <c r="C29" s="139">
        <f t="shared" ref="C29:D34" si="5">D29</f>
        <v>883.39848502262771</v>
      </c>
      <c r="D29" s="139">
        <f t="shared" si="5"/>
        <v>883.39848502262771</v>
      </c>
      <c r="E29" s="139">
        <f t="shared" si="4"/>
        <v>883.39848502262771</v>
      </c>
      <c r="F29" s="139">
        <f t="shared" si="4"/>
        <v>907.98897829765758</v>
      </c>
      <c r="G29" s="139">
        <f t="shared" si="4"/>
        <v>950.27537698623007</v>
      </c>
      <c r="H29" s="139">
        <f t="shared" si="4"/>
        <v>1015.0434957212917</v>
      </c>
      <c r="I29" s="139">
        <f t="shared" si="4"/>
        <v>1095.7665497923897</v>
      </c>
      <c r="J29" s="139">
        <f t="shared" si="4"/>
        <v>1170.9198089371632</v>
      </c>
      <c r="K29" s="139">
        <f t="shared" si="4"/>
        <v>1254.8178827134298</v>
      </c>
      <c r="L29" s="139">
        <f t="shared" si="4"/>
        <v>1298.4698985406169</v>
      </c>
      <c r="M29" s="139">
        <f t="shared" si="4"/>
        <v>1362.5137221963391</v>
      </c>
      <c r="N29" s="139">
        <f t="shared" si="4"/>
        <v>1488.405427611503</v>
      </c>
      <c r="O29" s="139">
        <f t="shared" si="4"/>
        <v>1637.8144052397947</v>
      </c>
      <c r="P29" s="139">
        <f t="shared" si="4"/>
        <v>1675.931537135587</v>
      </c>
    </row>
    <row r="30" spans="2:19" ht="15">
      <c r="B30" s="140" t="s">
        <v>148</v>
      </c>
      <c r="C30" s="139">
        <f t="shared" si="5"/>
        <v>995.41903500977276</v>
      </c>
      <c r="D30" s="139">
        <f t="shared" si="5"/>
        <v>995.41903500977276</v>
      </c>
      <c r="E30" s="139">
        <f t="shared" si="4"/>
        <v>995.41903500977276</v>
      </c>
      <c r="F30" s="139">
        <f t="shared" si="4"/>
        <v>1020.1503718073003</v>
      </c>
      <c r="G30" s="139">
        <f t="shared" si="4"/>
        <v>1062.6789683761031</v>
      </c>
      <c r="H30" s="139">
        <f t="shared" si="4"/>
        <v>1127.8180503889712</v>
      </c>
      <c r="I30" s="139">
        <f t="shared" si="4"/>
        <v>1209.0034415549835</v>
      </c>
      <c r="J30" s="139">
        <f t="shared" si="4"/>
        <v>1284.5871816121189</v>
      </c>
      <c r="K30" s="139">
        <f t="shared" si="4"/>
        <v>1368.9657505079385</v>
      </c>
      <c r="L30" s="139">
        <f t="shared" si="4"/>
        <v>1412.867785869279</v>
      </c>
      <c r="M30" s="139">
        <f t="shared" si="4"/>
        <v>1477.2784604804629</v>
      </c>
      <c r="N30" s="139">
        <f t="shared" si="4"/>
        <v>1603.8912542967789</v>
      </c>
      <c r="O30" s="139">
        <f t="shared" si="4"/>
        <v>1754.1558724264855</v>
      </c>
      <c r="P30" s="139">
        <f t="shared" si="4"/>
        <v>1792.4914308405937</v>
      </c>
    </row>
    <row r="31" spans="2:19" ht="15">
      <c r="B31" s="140" t="s">
        <v>147</v>
      </c>
      <c r="C31" s="139">
        <f t="shared" si="5"/>
        <v>1107.4395849969178</v>
      </c>
      <c r="D31" s="139">
        <f t="shared" si="5"/>
        <v>1107.4395849969178</v>
      </c>
      <c r="E31" s="139">
        <f t="shared" si="4"/>
        <v>1107.4395849969178</v>
      </c>
      <c r="F31" s="139">
        <f t="shared" si="4"/>
        <v>1132.3117653169429</v>
      </c>
      <c r="G31" s="139">
        <f t="shared" si="4"/>
        <v>1175.0825597659759</v>
      </c>
      <c r="H31" s="139">
        <f t="shared" si="4"/>
        <v>1240.5926050566507</v>
      </c>
      <c r="I31" s="139">
        <f t="shared" si="4"/>
        <v>1322.2403333175773</v>
      </c>
      <c r="J31" s="139">
        <f t="shared" si="4"/>
        <v>1398.2545542870746</v>
      </c>
      <c r="K31" s="139">
        <f t="shared" si="4"/>
        <v>1483.1136183024473</v>
      </c>
      <c r="L31" s="139">
        <f t="shared" si="4"/>
        <v>1527.2656731979412</v>
      </c>
      <c r="M31" s="139">
        <f t="shared" si="4"/>
        <v>1592.0431987645866</v>
      </c>
      <c r="N31" s="139">
        <f t="shared" si="4"/>
        <v>1719.3770809820548</v>
      </c>
      <c r="O31" s="139">
        <f t="shared" si="4"/>
        <v>1870.4973396131763</v>
      </c>
      <c r="P31" s="139">
        <f t="shared" si="4"/>
        <v>1909.0513245456004</v>
      </c>
    </row>
    <row r="32" spans="2:19" ht="15">
      <c r="B32" s="140" t="s">
        <v>146</v>
      </c>
      <c r="C32" s="139">
        <f t="shared" si="5"/>
        <v>1219.4601349840627</v>
      </c>
      <c r="D32" s="139">
        <f t="shared" si="5"/>
        <v>1219.4601349840627</v>
      </c>
      <c r="E32" s="139">
        <f t="shared" si="4"/>
        <v>1219.4601349840627</v>
      </c>
      <c r="F32" s="139">
        <f t="shared" si="4"/>
        <v>1244.4731588265854</v>
      </c>
      <c r="G32" s="139">
        <f t="shared" si="4"/>
        <v>1287.4861511558488</v>
      </c>
      <c r="H32" s="139">
        <f t="shared" si="4"/>
        <v>1353.3671597243301</v>
      </c>
      <c r="I32" s="139">
        <f t="shared" si="4"/>
        <v>1435.4772250801711</v>
      </c>
      <c r="J32" s="139">
        <f t="shared" si="4"/>
        <v>1511.9219269620303</v>
      </c>
      <c r="K32" s="139">
        <f t="shared" si="4"/>
        <v>1597.2614860969561</v>
      </c>
      <c r="L32" s="139">
        <f t="shared" si="4"/>
        <v>1641.6635605266033</v>
      </c>
      <c r="M32" s="139">
        <f t="shared" si="4"/>
        <v>1706.8079370487103</v>
      </c>
      <c r="N32" s="139">
        <f t="shared" si="4"/>
        <v>1834.8629076673308</v>
      </c>
      <c r="O32" s="139">
        <f t="shared" si="4"/>
        <v>1986.8388067998671</v>
      </c>
      <c r="P32" s="139">
        <f>P31+(P31-P30)</f>
        <v>2025.6112182506072</v>
      </c>
    </row>
    <row r="33" spans="2:16" ht="15">
      <c r="B33" s="140" t="s">
        <v>145</v>
      </c>
      <c r="C33" s="139">
        <f t="shared" si="5"/>
        <v>1331.4806849712077</v>
      </c>
      <c r="D33" s="139">
        <f t="shared" si="5"/>
        <v>1331.4806849712077</v>
      </c>
      <c r="E33" s="139">
        <f t="shared" si="4"/>
        <v>1331.4806849712077</v>
      </c>
      <c r="F33" s="139">
        <f t="shared" si="4"/>
        <v>1356.6345523362279</v>
      </c>
      <c r="G33" s="139">
        <f t="shared" si="4"/>
        <v>1399.8897425457217</v>
      </c>
      <c r="H33" s="139">
        <f t="shared" si="4"/>
        <v>1466.1417143920096</v>
      </c>
      <c r="I33" s="139">
        <f t="shared" si="4"/>
        <v>1548.714116842765</v>
      </c>
      <c r="J33" s="139">
        <f t="shared" si="4"/>
        <v>1625.589299636986</v>
      </c>
      <c r="K33" s="139">
        <f t="shared" si="4"/>
        <v>1711.4093538914649</v>
      </c>
      <c r="L33" s="139">
        <f t="shared" si="4"/>
        <v>1756.0614478552654</v>
      </c>
      <c r="M33" s="139">
        <f t="shared" si="4"/>
        <v>1821.572675332834</v>
      </c>
      <c r="N33" s="139">
        <f t="shared" si="4"/>
        <v>1950.3487343526067</v>
      </c>
      <c r="O33" s="139">
        <f t="shared" si="4"/>
        <v>2103.1802739865579</v>
      </c>
      <c r="P33" s="139">
        <f t="shared" si="4"/>
        <v>2142.1711119556139</v>
      </c>
    </row>
    <row r="34" spans="2:16" ht="15">
      <c r="B34" s="140" t="s">
        <v>144</v>
      </c>
      <c r="C34" s="139">
        <f t="shared" si="5"/>
        <v>1443.5012349583526</v>
      </c>
      <c r="D34" s="139">
        <f t="shared" si="5"/>
        <v>1443.5012349583526</v>
      </c>
      <c r="E34" s="139">
        <f t="shared" si="4"/>
        <v>1443.5012349583526</v>
      </c>
      <c r="F34" s="139">
        <f t="shared" si="4"/>
        <v>1468.7959458458704</v>
      </c>
      <c r="G34" s="139">
        <f t="shared" si="4"/>
        <v>1512.2933339355945</v>
      </c>
      <c r="H34" s="139">
        <f t="shared" si="4"/>
        <v>1578.9162690596891</v>
      </c>
      <c r="I34" s="139">
        <f t="shared" si="4"/>
        <v>1661.9510086053588</v>
      </c>
      <c r="J34" s="139">
        <f t="shared" si="4"/>
        <v>1739.2566723119417</v>
      </c>
      <c r="K34" s="139">
        <f t="shared" si="4"/>
        <v>1825.5572216859737</v>
      </c>
      <c r="L34" s="139">
        <f t="shared" si="4"/>
        <v>1870.4593351839276</v>
      </c>
      <c r="M34" s="139">
        <f t="shared" si="4"/>
        <v>1936.3374136169577</v>
      </c>
      <c r="N34" s="139">
        <f t="shared" si="4"/>
        <v>2065.8345610378828</v>
      </c>
      <c r="O34" s="139">
        <f t="shared" si="4"/>
        <v>2219.5217411732488</v>
      </c>
      <c r="P34" s="139">
        <f t="shared" si="4"/>
        <v>2258.7310056606207</v>
      </c>
    </row>
    <row r="45" spans="2:16" ht="28.5">
      <c r="B45" s="116" t="s">
        <v>187</v>
      </c>
      <c r="C45" s="105"/>
      <c r="D45" s="105"/>
    </row>
    <row r="46" spans="2:16">
      <c r="B46" s="115" t="s">
        <v>186</v>
      </c>
      <c r="C46" s="105"/>
      <c r="D46" s="105"/>
    </row>
    <row r="47" spans="2:16">
      <c r="B47" s="115" t="s">
        <v>185</v>
      </c>
      <c r="C47" s="105"/>
      <c r="D47" s="105"/>
    </row>
    <row r="48" spans="2:16" ht="45">
      <c r="B48" s="114" t="s">
        <v>184</v>
      </c>
      <c r="C48" s="113" t="s">
        <v>183</v>
      </c>
      <c r="D48" s="112" t="s">
        <v>182</v>
      </c>
    </row>
    <row r="49" spans="2:10" ht="14.25">
      <c r="B49" s="105" t="s">
        <v>181</v>
      </c>
      <c r="C49" s="104" t="s">
        <v>47</v>
      </c>
      <c r="D49" s="462">
        <v>716.9967788461538</v>
      </c>
    </row>
    <row r="50" spans="2:10" ht="14.25">
      <c r="B50" s="105" t="s">
        <v>180</v>
      </c>
      <c r="C50" s="104" t="s">
        <v>47</v>
      </c>
      <c r="D50" s="462">
        <v>949.7435576923076</v>
      </c>
    </row>
    <row r="51" spans="2:10" ht="14.25">
      <c r="B51" s="105" t="s">
        <v>163</v>
      </c>
      <c r="C51" s="104" t="s">
        <v>47</v>
      </c>
      <c r="D51" s="462">
        <v>999.54899038461542</v>
      </c>
      <c r="H51" s="111"/>
      <c r="I51" s="110" t="s">
        <v>179</v>
      </c>
      <c r="J51" s="110" t="s">
        <v>178</v>
      </c>
    </row>
    <row r="52" spans="2:10" ht="14.25">
      <c r="B52" s="105" t="s">
        <v>162</v>
      </c>
      <c r="C52" s="104" t="s">
        <v>47</v>
      </c>
      <c r="D52" s="462">
        <v>1096.1344711538461</v>
      </c>
      <c r="H52" s="108" t="s">
        <v>102</v>
      </c>
      <c r="I52" s="107"/>
      <c r="J52" s="106">
        <f>I52*52/12</f>
        <v>0</v>
      </c>
    </row>
    <row r="53" spans="2:10" ht="14.25">
      <c r="B53" s="105"/>
      <c r="C53" s="109"/>
      <c r="D53" s="462"/>
      <c r="H53" s="108" t="s">
        <v>177</v>
      </c>
      <c r="I53" s="107"/>
      <c r="J53" s="106">
        <f>I53*52/12</f>
        <v>0</v>
      </c>
    </row>
    <row r="54" spans="2:10" ht="14.25">
      <c r="B54" s="105" t="s">
        <v>176</v>
      </c>
      <c r="C54" s="104" t="s">
        <v>47</v>
      </c>
      <c r="D54" s="462">
        <v>329.96456730769228</v>
      </c>
      <c r="H54" s="108" t="s">
        <v>175</v>
      </c>
      <c r="I54" s="107"/>
      <c r="J54" s="106">
        <f>(I54-I52)*52/12</f>
        <v>0</v>
      </c>
    </row>
    <row r="55" spans="2:10" ht="14.25">
      <c r="B55" s="105" t="s">
        <v>174</v>
      </c>
      <c r="C55" s="104" t="s">
        <v>47</v>
      </c>
      <c r="D55" s="462">
        <v>460.22918269230769</v>
      </c>
    </row>
    <row r="56" spans="2:10" ht="14.25">
      <c r="B56" s="105" t="s">
        <v>173</v>
      </c>
      <c r="C56" s="104" t="s">
        <v>47</v>
      </c>
      <c r="D56" s="462">
        <v>544.04725961538463</v>
      </c>
    </row>
    <row r="57" spans="2:10" ht="14.25">
      <c r="B57" s="105" t="s">
        <v>172</v>
      </c>
      <c r="C57" s="104" t="s">
        <v>47</v>
      </c>
      <c r="D57" s="462">
        <v>627.86533653846163</v>
      </c>
    </row>
    <row r="68" spans="2:11">
      <c r="B68" s="93" t="s">
        <v>171</v>
      </c>
    </row>
    <row r="71" spans="2:11">
      <c r="B71" s="93" t="s">
        <v>170</v>
      </c>
      <c r="C71" s="93">
        <v>2</v>
      </c>
      <c r="D71" s="93">
        <v>3</v>
      </c>
      <c r="E71" s="93">
        <v>4</v>
      </c>
      <c r="F71" s="103">
        <v>5</v>
      </c>
      <c r="G71" s="93">
        <v>6</v>
      </c>
      <c r="H71" s="93">
        <v>7</v>
      </c>
      <c r="I71" s="93">
        <v>8</v>
      </c>
      <c r="J71" s="93">
        <v>9</v>
      </c>
      <c r="K71" s="93">
        <v>10</v>
      </c>
    </row>
    <row r="72" spans="2:11" ht="14.25">
      <c r="C72" s="101"/>
      <c r="D72" s="101"/>
      <c r="E72" s="101"/>
      <c r="F72" s="102" t="s">
        <v>169</v>
      </c>
      <c r="G72" s="101"/>
      <c r="H72" s="101"/>
      <c r="I72" s="101"/>
      <c r="J72" s="101"/>
      <c r="K72" s="101"/>
    </row>
    <row r="73" spans="2:11" ht="14.25">
      <c r="C73" s="100">
        <v>0</v>
      </c>
      <c r="D73" s="99">
        <v>22000</v>
      </c>
      <c r="E73" s="99">
        <v>32000</v>
      </c>
      <c r="F73" s="99">
        <v>43000</v>
      </c>
      <c r="G73" s="99">
        <v>54000</v>
      </c>
      <c r="H73" s="99">
        <v>65000</v>
      </c>
      <c r="I73" s="99">
        <v>86000</v>
      </c>
      <c r="J73" s="99">
        <v>108000</v>
      </c>
      <c r="K73" s="99">
        <v>129000</v>
      </c>
    </row>
    <row r="74" spans="2:11" ht="14.25">
      <c r="C74" s="98" t="s">
        <v>168</v>
      </c>
      <c r="D74" s="98" t="s">
        <v>167</v>
      </c>
      <c r="E74" s="98" t="s">
        <v>167</v>
      </c>
      <c r="F74" s="98" t="s">
        <v>167</v>
      </c>
      <c r="G74" s="98" t="s">
        <v>167</v>
      </c>
      <c r="H74" s="98" t="s">
        <v>167</v>
      </c>
      <c r="I74" s="98" t="s">
        <v>167</v>
      </c>
      <c r="J74" s="98" t="s">
        <v>167</v>
      </c>
      <c r="K74" s="98" t="s">
        <v>167</v>
      </c>
    </row>
    <row r="75" spans="2:11" ht="14.25">
      <c r="C75" s="97"/>
      <c r="D75" s="96">
        <v>32000</v>
      </c>
      <c r="E75" s="96">
        <v>43000</v>
      </c>
      <c r="F75" s="96">
        <v>54000</v>
      </c>
      <c r="G75" s="96">
        <v>65000</v>
      </c>
      <c r="H75" s="96">
        <v>86000</v>
      </c>
      <c r="I75" s="96">
        <v>108000</v>
      </c>
      <c r="J75" s="96">
        <v>129000</v>
      </c>
      <c r="K75" s="96">
        <v>151000</v>
      </c>
    </row>
    <row r="76" spans="2:11" ht="28.5">
      <c r="B76" s="95" t="s">
        <v>166</v>
      </c>
    </row>
    <row r="77" spans="2:11" ht="15">
      <c r="B77" s="93" t="s">
        <v>165</v>
      </c>
      <c r="C77" s="94">
        <f>C13*52/12</f>
        <v>2542.5752799691822</v>
      </c>
      <c r="D77" s="94">
        <f t="shared" ref="D77:K77" si="6">D13*52/12</f>
        <v>2542.5752799691822</v>
      </c>
      <c r="E77" s="94">
        <f t="shared" si="6"/>
        <v>2614.4917419587005</v>
      </c>
      <c r="F77" s="94">
        <f t="shared" si="6"/>
        <v>2719.0134808789785</v>
      </c>
      <c r="G77" s="94">
        <f t="shared" si="6"/>
        <v>2898.7515558404116</v>
      </c>
      <c r="H77" s="94">
        <f t="shared" si="6"/>
        <v>3174.0480422129763</v>
      </c>
      <c r="I77" s="94">
        <f t="shared" si="6"/>
        <v>3517.1609992888898</v>
      </c>
      <c r="J77" s="94">
        <f t="shared" si="6"/>
        <v>3836.5989918150203</v>
      </c>
      <c r="K77" s="94">
        <f t="shared" si="6"/>
        <v>4193.2075420339088</v>
      </c>
    </row>
    <row r="78" spans="2:11" ht="15">
      <c r="B78" s="93" t="s">
        <v>164</v>
      </c>
      <c r="C78" s="94">
        <f t="shared" ref="C78:K78" si="7">C14*52/12</f>
        <v>3005.3248245995596</v>
      </c>
      <c r="D78" s="94">
        <f t="shared" si="7"/>
        <v>3005.3248245995596</v>
      </c>
      <c r="E78" s="94">
        <f t="shared" si="7"/>
        <v>3005.3248245995596</v>
      </c>
      <c r="F78" s="94">
        <f t="shared" si="7"/>
        <v>3110.362394637968</v>
      </c>
      <c r="G78" s="94">
        <f t="shared" si="7"/>
        <v>3290.98733804226</v>
      </c>
      <c r="H78" s="94">
        <f t="shared" si="7"/>
        <v>3567.6419373833655</v>
      </c>
      <c r="I78" s="94">
        <f t="shared" si="7"/>
        <v>3912.4479756298024</v>
      </c>
      <c r="J78" s="94">
        <f t="shared" si="7"/>
        <v>4233.461995967903</v>
      </c>
      <c r="K78" s="94">
        <f t="shared" si="7"/>
        <v>4591.8302949941781</v>
      </c>
    </row>
    <row r="79" spans="2:11" ht="15">
      <c r="B79" s="93" t="s">
        <v>163</v>
      </c>
      <c r="C79" s="94">
        <f t="shared" ref="C79:K79" si="8">C15*52/12</f>
        <v>3316.0730098111467</v>
      </c>
      <c r="D79" s="94">
        <f t="shared" si="8"/>
        <v>3316.0730098111467</v>
      </c>
      <c r="E79" s="94">
        <f t="shared" si="8"/>
        <v>3316.0730098111467</v>
      </c>
      <c r="F79" s="94">
        <f t="shared" si="8"/>
        <v>3420.8454103885765</v>
      </c>
      <c r="G79" s="94">
        <f t="shared" si="8"/>
        <v>3601.014489047875</v>
      </c>
      <c r="H79" s="94">
        <f t="shared" si="8"/>
        <v>3876.9710649957883</v>
      </c>
      <c r="I79" s="94">
        <f t="shared" si="8"/>
        <v>4220.9070280249553</v>
      </c>
      <c r="J79" s="94">
        <f t="shared" si="8"/>
        <v>4541.110929216843</v>
      </c>
      <c r="K79" s="94">
        <f t="shared" si="8"/>
        <v>4898.5750104765075</v>
      </c>
    </row>
    <row r="80" spans="2:11" ht="15">
      <c r="B80" s="93" t="s">
        <v>162</v>
      </c>
      <c r="C80" s="94">
        <f t="shared" ref="C80:K80" si="9">C16*52/12</f>
        <v>3677.480757323563</v>
      </c>
      <c r="D80" s="94">
        <f t="shared" si="9"/>
        <v>3677.480757323563</v>
      </c>
      <c r="E80" s="94">
        <f t="shared" si="9"/>
        <v>3677.480757323563</v>
      </c>
      <c r="F80" s="94">
        <f t="shared" si="9"/>
        <v>3677.480757323563</v>
      </c>
      <c r="G80" s="94">
        <f t="shared" si="9"/>
        <v>3856.1784707001011</v>
      </c>
      <c r="H80" s="94">
        <f t="shared" si="9"/>
        <v>4129.8815417585311</v>
      </c>
      <c r="I80" s="94">
        <f t="shared" si="9"/>
        <v>4471.0083339122184</v>
      </c>
      <c r="J80" s="94">
        <f t="shared" si="9"/>
        <v>4788.5971229217812</v>
      </c>
      <c r="K80" s="94">
        <f t="shared" si="9"/>
        <v>5143.1417078260674</v>
      </c>
    </row>
    <row r="81" spans="2:11" ht="15">
      <c r="B81" s="93" t="s">
        <v>161</v>
      </c>
      <c r="C81" s="94">
        <f t="shared" ref="C81:K81" si="10">C17*52/12</f>
        <v>3934.1161042585486</v>
      </c>
      <c r="D81" s="94">
        <f t="shared" si="10"/>
        <v>3934.1161042585486</v>
      </c>
      <c r="E81" s="94">
        <f t="shared" si="10"/>
        <v>3934.1161042585486</v>
      </c>
      <c r="F81" s="94">
        <f t="shared" si="10"/>
        <v>3934.1161042585486</v>
      </c>
      <c r="G81" s="94">
        <f t="shared" si="10"/>
        <v>4111.3424523523281</v>
      </c>
      <c r="H81" s="94">
        <f t="shared" si="10"/>
        <v>4382.7920185212733</v>
      </c>
      <c r="I81" s="94">
        <f t="shared" si="10"/>
        <v>4721.1096397994806</v>
      </c>
      <c r="J81" s="94">
        <f t="shared" si="10"/>
        <v>5036.0833166267194</v>
      </c>
      <c r="K81" s="94">
        <f t="shared" si="10"/>
        <v>5387.7084051756274</v>
      </c>
    </row>
    <row r="82" spans="2:11" ht="15">
      <c r="B82" s="93" t="s">
        <v>160</v>
      </c>
      <c r="C82" s="94">
        <f t="shared" ref="C82:K82" si="11">C18*52/12</f>
        <v>4190.7514511935351</v>
      </c>
      <c r="D82" s="94">
        <f t="shared" si="11"/>
        <v>4190.7514511935351</v>
      </c>
      <c r="E82" s="94">
        <f t="shared" si="11"/>
        <v>4190.7514511935351</v>
      </c>
      <c r="F82" s="94">
        <f t="shared" si="11"/>
        <v>4190.7514511935351</v>
      </c>
      <c r="G82" s="94">
        <f t="shared" si="11"/>
        <v>4366.5064340045546</v>
      </c>
      <c r="H82" s="94">
        <f t="shared" si="11"/>
        <v>4635.7024952840156</v>
      </c>
      <c r="I82" s="94">
        <f t="shared" si="11"/>
        <v>4971.2109456867429</v>
      </c>
      <c r="J82" s="94">
        <f t="shared" si="11"/>
        <v>5283.5695103316584</v>
      </c>
      <c r="K82" s="94">
        <f t="shared" si="11"/>
        <v>5632.2751025251882</v>
      </c>
    </row>
    <row r="83" spans="2:11" ht="15">
      <c r="B83" s="93" t="s">
        <v>159</v>
      </c>
      <c r="C83" s="94">
        <f t="shared" ref="C83:K83" si="12">C19*52/12</f>
        <v>4447.3867981285211</v>
      </c>
      <c r="D83" s="94">
        <f t="shared" si="12"/>
        <v>4447.3867981285211</v>
      </c>
      <c r="E83" s="94">
        <f t="shared" si="12"/>
        <v>4447.3867981285211</v>
      </c>
      <c r="F83" s="94">
        <f t="shared" si="12"/>
        <v>4447.3867981285211</v>
      </c>
      <c r="G83" s="94">
        <f t="shared" si="12"/>
        <v>4621.6704156567812</v>
      </c>
      <c r="H83" s="94">
        <f t="shared" si="12"/>
        <v>4888.6129720467588</v>
      </c>
      <c r="I83" s="94">
        <f t="shared" si="12"/>
        <v>5221.312251574006</v>
      </c>
      <c r="J83" s="94">
        <f t="shared" si="12"/>
        <v>5531.0557040365966</v>
      </c>
      <c r="K83" s="94">
        <f t="shared" si="12"/>
        <v>5876.8417998747473</v>
      </c>
    </row>
    <row r="84" spans="2:11" ht="15">
      <c r="B84" s="93" t="s">
        <v>158</v>
      </c>
      <c r="C84" s="94">
        <f t="shared" ref="C84:K84" si="13">C20*52/12</f>
        <v>4704.0221450635072</v>
      </c>
      <c r="D84" s="94">
        <f t="shared" si="13"/>
        <v>4704.0221450635072</v>
      </c>
      <c r="E84" s="94">
        <f t="shared" si="13"/>
        <v>4704.0221450635072</v>
      </c>
      <c r="F84" s="94">
        <f t="shared" si="13"/>
        <v>4704.0221450635072</v>
      </c>
      <c r="G84" s="94">
        <f t="shared" si="13"/>
        <v>4876.8343973090077</v>
      </c>
      <c r="H84" s="94">
        <f t="shared" si="13"/>
        <v>5141.523448809502</v>
      </c>
      <c r="I84" s="94">
        <f t="shared" si="13"/>
        <v>5471.4135574612692</v>
      </c>
      <c r="J84" s="94">
        <f t="shared" si="13"/>
        <v>5778.5418977415347</v>
      </c>
      <c r="K84" s="94">
        <f t="shared" si="13"/>
        <v>6121.4084972243081</v>
      </c>
    </row>
    <row r="85" spans="2:11" ht="15">
      <c r="B85" s="93" t="s">
        <v>157</v>
      </c>
      <c r="C85" s="94">
        <f t="shared" ref="C85:K85" si="14">C21*52/12</f>
        <v>4960.6574919984932</v>
      </c>
      <c r="D85" s="94">
        <f t="shared" si="14"/>
        <v>4960.6574919984932</v>
      </c>
      <c r="E85" s="94">
        <f t="shared" si="14"/>
        <v>4960.6574919984932</v>
      </c>
      <c r="F85" s="94">
        <f t="shared" si="14"/>
        <v>4960.6574919984932</v>
      </c>
      <c r="G85" s="94">
        <f t="shared" si="14"/>
        <v>5131.9983789612334</v>
      </c>
      <c r="H85" s="94">
        <f t="shared" si="14"/>
        <v>5394.4339255722452</v>
      </c>
      <c r="I85" s="94">
        <f t="shared" si="14"/>
        <v>5721.5148633485305</v>
      </c>
      <c r="J85" s="94">
        <f t="shared" si="14"/>
        <v>6026.0280914464738</v>
      </c>
      <c r="K85" s="94">
        <f t="shared" si="14"/>
        <v>6365.9751945738681</v>
      </c>
    </row>
    <row r="86" spans="2:11" ht="15">
      <c r="B86" s="93" t="s">
        <v>156</v>
      </c>
      <c r="C86" s="94">
        <f t="shared" ref="C86:K86" si="15">C22*52/12</f>
        <v>5217.2928389334793</v>
      </c>
      <c r="D86" s="94">
        <f t="shared" si="15"/>
        <v>5217.2928389334793</v>
      </c>
      <c r="E86" s="94">
        <f t="shared" si="15"/>
        <v>5217.2928389334793</v>
      </c>
      <c r="F86" s="94">
        <f t="shared" si="15"/>
        <v>5217.2928389334793</v>
      </c>
      <c r="G86" s="94">
        <f t="shared" si="15"/>
        <v>5387.1623606134599</v>
      </c>
      <c r="H86" s="94">
        <f t="shared" si="15"/>
        <v>5647.3444023349875</v>
      </c>
      <c r="I86" s="94">
        <f t="shared" si="15"/>
        <v>5971.6161692357937</v>
      </c>
      <c r="J86" s="94">
        <f t="shared" si="15"/>
        <v>6273.5142851514111</v>
      </c>
      <c r="K86" s="94">
        <f t="shared" si="15"/>
        <v>6610.5418919234289</v>
      </c>
    </row>
    <row r="87" spans="2:11" ht="15">
      <c r="B87" s="93" t="s">
        <v>155</v>
      </c>
      <c r="C87" s="94">
        <f t="shared" ref="C87:K87" si="16">C23*52/12</f>
        <v>5473.9281858684653</v>
      </c>
      <c r="D87" s="94">
        <f t="shared" si="16"/>
        <v>5473.9281858684653</v>
      </c>
      <c r="E87" s="94">
        <f t="shared" si="16"/>
        <v>5473.9281858684653</v>
      </c>
      <c r="F87" s="94">
        <f t="shared" si="16"/>
        <v>5473.9281858684653</v>
      </c>
      <c r="G87" s="94">
        <f t="shared" si="16"/>
        <v>5642.3263422656864</v>
      </c>
      <c r="H87" s="94">
        <f t="shared" si="16"/>
        <v>5900.2548790977307</v>
      </c>
      <c r="I87" s="94">
        <f t="shared" si="16"/>
        <v>6221.7174751230559</v>
      </c>
      <c r="J87" s="94">
        <f t="shared" si="16"/>
        <v>6521.0004788563501</v>
      </c>
      <c r="K87" s="94">
        <f t="shared" si="16"/>
        <v>6855.1085892729889</v>
      </c>
    </row>
    <row r="88" spans="2:11" ht="15">
      <c r="C88" s="94"/>
      <c r="D88" s="94"/>
      <c r="E88" s="94"/>
      <c r="F88" s="94"/>
      <c r="G88" s="94"/>
      <c r="H88" s="94"/>
      <c r="I88" s="94"/>
      <c r="J88" s="94"/>
      <c r="K88" s="94"/>
    </row>
    <row r="89" spans="2:11" ht="15">
      <c r="B89" s="93" t="s">
        <v>154</v>
      </c>
      <c r="C89" s="94">
        <f t="shared" ref="C89:K89" si="17">C24*52/12</f>
        <v>1310.0327124955984</v>
      </c>
      <c r="D89" s="94">
        <f t="shared" si="17"/>
        <v>1373.607015435716</v>
      </c>
      <c r="E89" s="94">
        <f t="shared" si="17"/>
        <v>1445.1117205196581</v>
      </c>
      <c r="F89" s="94">
        <f t="shared" si="17"/>
        <v>1549.0350521150758</v>
      </c>
      <c r="G89" s="94">
        <f t="shared" si="17"/>
        <v>1727.7440089304839</v>
      </c>
      <c r="H89" s="94">
        <f t="shared" si="17"/>
        <v>2001.4642917409813</v>
      </c>
      <c r="I89" s="94">
        <f t="shared" si="17"/>
        <v>2342.6125056200212</v>
      </c>
      <c r="J89" s="94">
        <f t="shared" si="17"/>
        <v>2660.2215109427993</v>
      </c>
      <c r="K89" s="94">
        <f t="shared" si="17"/>
        <v>3014.7883632953522</v>
      </c>
    </row>
    <row r="90" spans="2:11" ht="15">
      <c r="B90" s="93" t="s">
        <v>153</v>
      </c>
      <c r="C90" s="94">
        <f t="shared" ref="C90:K90" si="18">C25*52/12</f>
        <v>1814.7322130959992</v>
      </c>
      <c r="D90" s="94">
        <f t="shared" si="18"/>
        <v>1814.7322130959992</v>
      </c>
      <c r="E90" s="94">
        <f t="shared" si="18"/>
        <v>1886.3705686542055</v>
      </c>
      <c r="F90" s="94">
        <f t="shared" si="18"/>
        <v>1990.488085122709</v>
      </c>
      <c r="G90" s="94">
        <f t="shared" si="18"/>
        <v>2169.5310495158651</v>
      </c>
      <c r="H90" s="94">
        <f t="shared" si="18"/>
        <v>2443.7628672191554</v>
      </c>
      <c r="I90" s="94">
        <f t="shared" si="18"/>
        <v>2785.5489252153943</v>
      </c>
      <c r="J90" s="94">
        <f t="shared" si="18"/>
        <v>3103.7513790284756</v>
      </c>
      <c r="K90" s="94">
        <f t="shared" si="18"/>
        <v>3458.9811166533764</v>
      </c>
    </row>
    <row r="91" spans="2:11" ht="15">
      <c r="B91" s="93" t="s">
        <v>152</v>
      </c>
      <c r="C91" s="94">
        <f t="shared" ref="C91:K91" si="19">C26*52/12</f>
        <v>2299.734682644581</v>
      </c>
      <c r="D91" s="94">
        <f t="shared" si="19"/>
        <v>2299.734682644581</v>
      </c>
      <c r="E91" s="94">
        <f t="shared" si="19"/>
        <v>2371.7929519318345</v>
      </c>
      <c r="F91" s="94">
        <f t="shared" si="19"/>
        <v>2476.5207903311607</v>
      </c>
      <c r="G91" s="94">
        <f t="shared" si="19"/>
        <v>2656.6132788719815</v>
      </c>
      <c r="H91" s="94">
        <f t="shared" si="19"/>
        <v>2932.4526041124323</v>
      </c>
      <c r="I91" s="94">
        <f t="shared" si="19"/>
        <v>3276.2421228533008</v>
      </c>
      <c r="J91" s="94">
        <f t="shared" si="19"/>
        <v>3596.3099939532835</v>
      </c>
      <c r="K91" s="94">
        <f t="shared" si="19"/>
        <v>3953.6218770962478</v>
      </c>
    </row>
    <row r="92" spans="2:11" ht="15">
      <c r="B92" s="93" t="s">
        <v>151</v>
      </c>
      <c r="C92" s="94">
        <f t="shared" ref="C92:K92" si="20">C27*52/12</f>
        <v>2857.2153352094629</v>
      </c>
      <c r="D92" s="94">
        <f t="shared" si="20"/>
        <v>2857.2153352094629</v>
      </c>
      <c r="E92" s="94">
        <f t="shared" si="20"/>
        <v>2857.2153352094629</v>
      </c>
      <c r="F92" s="94">
        <f t="shared" si="20"/>
        <v>2962.5534955396124</v>
      </c>
      <c r="G92" s="94">
        <f t="shared" si="20"/>
        <v>3143.6955082280979</v>
      </c>
      <c r="H92" s="94">
        <f t="shared" si="20"/>
        <v>3421.14234100571</v>
      </c>
      <c r="I92" s="94">
        <f t="shared" si="20"/>
        <v>3766.9353204912077</v>
      </c>
      <c r="J92" s="94">
        <f t="shared" si="20"/>
        <v>4088.868608878091</v>
      </c>
      <c r="K92" s="94">
        <f t="shared" si="20"/>
        <v>4448.2626375391192</v>
      </c>
    </row>
    <row r="93" spans="2:11" ht="15">
      <c r="B93" s="93" t="s">
        <v>150</v>
      </c>
      <c r="C93" s="94">
        <f t="shared" ref="C93:K93" si="21">C28*52/12</f>
        <v>3342.6377184870912</v>
      </c>
      <c r="D93" s="94">
        <f t="shared" si="21"/>
        <v>3342.6377184870912</v>
      </c>
      <c r="E93" s="94">
        <f t="shared" si="21"/>
        <v>3342.6377184870912</v>
      </c>
      <c r="F93" s="94">
        <f t="shared" si="21"/>
        <v>3448.5862007480646</v>
      </c>
      <c r="G93" s="94">
        <f t="shared" si="21"/>
        <v>3630.7777375842143</v>
      </c>
      <c r="H93" s="94">
        <f t="shared" si="21"/>
        <v>3909.8320778989869</v>
      </c>
      <c r="I93" s="94">
        <f t="shared" si="21"/>
        <v>4257.628518129115</v>
      </c>
      <c r="J93" s="94">
        <f t="shared" si="21"/>
        <v>4581.4272238028998</v>
      </c>
      <c r="K93" s="94">
        <f t="shared" si="21"/>
        <v>4942.9033979819906</v>
      </c>
    </row>
    <row r="94" spans="2:11" ht="15">
      <c r="B94" s="93" t="s">
        <v>149</v>
      </c>
      <c r="C94" s="94">
        <f t="shared" ref="C94:K94" si="22">C29*52/12</f>
        <v>3828.06010176472</v>
      </c>
      <c r="D94" s="94">
        <f t="shared" si="22"/>
        <v>3828.06010176472</v>
      </c>
      <c r="E94" s="94">
        <f t="shared" si="22"/>
        <v>3828.06010176472</v>
      </c>
      <c r="F94" s="94">
        <f t="shared" si="22"/>
        <v>3934.6189059565163</v>
      </c>
      <c r="G94" s="94">
        <f t="shared" si="22"/>
        <v>4117.8599669403302</v>
      </c>
      <c r="H94" s="94">
        <f t="shared" si="22"/>
        <v>4398.5218147922642</v>
      </c>
      <c r="I94" s="94">
        <f t="shared" si="22"/>
        <v>4748.3217157670215</v>
      </c>
      <c r="J94" s="94">
        <f t="shared" si="22"/>
        <v>5073.9858387277072</v>
      </c>
      <c r="K94" s="94">
        <f t="shared" si="22"/>
        <v>5437.544158424862</v>
      </c>
    </row>
    <row r="95" spans="2:11" ht="15">
      <c r="B95" s="93" t="s">
        <v>148</v>
      </c>
      <c r="C95" s="94">
        <f t="shared" ref="C95:K95" si="23">C30*52/12</f>
        <v>4313.4824850423483</v>
      </c>
      <c r="D95" s="94">
        <f t="shared" si="23"/>
        <v>4313.4824850423483</v>
      </c>
      <c r="E95" s="94">
        <f t="shared" si="23"/>
        <v>4313.4824850423483</v>
      </c>
      <c r="F95" s="94">
        <f t="shared" si="23"/>
        <v>4420.651611164968</v>
      </c>
      <c r="G95" s="94">
        <f t="shared" si="23"/>
        <v>4604.942196296447</v>
      </c>
      <c r="H95" s="94">
        <f t="shared" si="23"/>
        <v>4887.211551685542</v>
      </c>
      <c r="I95" s="94">
        <f t="shared" si="23"/>
        <v>5239.0149134049288</v>
      </c>
      <c r="J95" s="94">
        <f t="shared" si="23"/>
        <v>5566.5444536525147</v>
      </c>
      <c r="K95" s="94">
        <f t="shared" si="23"/>
        <v>5932.1849188677334</v>
      </c>
    </row>
    <row r="96" spans="2:11" ht="15">
      <c r="B96" s="93" t="s">
        <v>147</v>
      </c>
      <c r="C96" s="94">
        <f t="shared" ref="C96:K96" si="24">C31*52/12</f>
        <v>4798.9048683199771</v>
      </c>
      <c r="D96" s="94">
        <f t="shared" si="24"/>
        <v>4798.9048683199771</v>
      </c>
      <c r="E96" s="94">
        <f t="shared" si="24"/>
        <v>4798.9048683199771</v>
      </c>
      <c r="F96" s="94">
        <f t="shared" si="24"/>
        <v>4906.6843163734193</v>
      </c>
      <c r="G96" s="94">
        <f t="shared" si="24"/>
        <v>5092.0244256525621</v>
      </c>
      <c r="H96" s="94">
        <f t="shared" si="24"/>
        <v>5375.9012885788197</v>
      </c>
      <c r="I96" s="94">
        <f t="shared" si="24"/>
        <v>5729.7081110428344</v>
      </c>
      <c r="J96" s="94">
        <f t="shared" si="24"/>
        <v>6059.103068577323</v>
      </c>
      <c r="K96" s="94">
        <f t="shared" si="24"/>
        <v>6426.8256793106048</v>
      </c>
    </row>
    <row r="97" spans="2:11" ht="15">
      <c r="B97" s="93" t="s">
        <v>146</v>
      </c>
      <c r="C97" s="94">
        <f t="shared" ref="C97:K97" si="25">C32*52/12</f>
        <v>5284.327251597605</v>
      </c>
      <c r="D97" s="94">
        <f t="shared" si="25"/>
        <v>5284.327251597605</v>
      </c>
      <c r="E97" s="94">
        <f t="shared" si="25"/>
        <v>5284.327251597605</v>
      </c>
      <c r="F97" s="94">
        <f t="shared" si="25"/>
        <v>5392.7170215818705</v>
      </c>
      <c r="G97" s="94">
        <f t="shared" si="25"/>
        <v>5579.1066550086789</v>
      </c>
      <c r="H97" s="94">
        <f t="shared" si="25"/>
        <v>5864.5910254720975</v>
      </c>
      <c r="I97" s="94">
        <f t="shared" si="25"/>
        <v>6220.4013086807417</v>
      </c>
      <c r="J97" s="94">
        <f t="shared" si="25"/>
        <v>6551.6616835021314</v>
      </c>
      <c r="K97" s="94">
        <f t="shared" si="25"/>
        <v>6921.4664397534762</v>
      </c>
    </row>
    <row r="98" spans="2:11" ht="15">
      <c r="B98" s="93" t="s">
        <v>145</v>
      </c>
      <c r="C98" s="94">
        <f t="shared" ref="C98:K98" si="26">C33*52/12</f>
        <v>5769.7496348752329</v>
      </c>
      <c r="D98" s="94">
        <f t="shared" si="26"/>
        <v>5769.7496348752329</v>
      </c>
      <c r="E98" s="94">
        <f t="shared" si="26"/>
        <v>5769.7496348752329</v>
      </c>
      <c r="F98" s="94">
        <f t="shared" si="26"/>
        <v>5878.7497267903209</v>
      </c>
      <c r="G98" s="94">
        <f t="shared" si="26"/>
        <v>6066.1888843647939</v>
      </c>
      <c r="H98" s="94">
        <f t="shared" si="26"/>
        <v>6353.2807623653753</v>
      </c>
      <c r="I98" s="94">
        <f t="shared" si="26"/>
        <v>6711.0945063186482</v>
      </c>
      <c r="J98" s="94">
        <f t="shared" si="26"/>
        <v>7044.2202984269388</v>
      </c>
      <c r="K98" s="94">
        <f t="shared" si="26"/>
        <v>7416.1072001963475</v>
      </c>
    </row>
    <row r="99" spans="2:11" ht="15">
      <c r="B99" s="93" t="s">
        <v>144</v>
      </c>
      <c r="C99" s="94">
        <f t="shared" ref="C99:K99" si="27">C34*52/12</f>
        <v>6255.1720181528617</v>
      </c>
      <c r="D99" s="94">
        <f t="shared" si="27"/>
        <v>6255.1720181528617</v>
      </c>
      <c r="E99" s="94">
        <f t="shared" si="27"/>
        <v>6255.1720181528617</v>
      </c>
      <c r="F99" s="94">
        <f t="shared" si="27"/>
        <v>6364.7824319987712</v>
      </c>
      <c r="G99" s="94">
        <f t="shared" si="27"/>
        <v>6553.2711137209089</v>
      </c>
      <c r="H99" s="94">
        <f t="shared" si="27"/>
        <v>6841.9704992586521</v>
      </c>
      <c r="I99" s="94">
        <f t="shared" si="27"/>
        <v>7201.7877039565547</v>
      </c>
      <c r="J99" s="94">
        <f t="shared" si="27"/>
        <v>7536.7789133517472</v>
      </c>
      <c r="K99" s="94">
        <f t="shared" si="27"/>
        <v>7910.7479606392189</v>
      </c>
    </row>
  </sheetData>
  <sheetProtection algorithmName="SHA-512" hashValue="Sd1O6vHb9MQkoMhuutojSfQzfQhbX/q1/qnoeRxV7xRAdu2lhzw6zwbUk9DIa7yukXE1UQytDwJzGHeGTgBYyQ==" saltValue="xi7lvkyUbRnP/k7gTXZiLg==" spinCount="100000" sheet="1" objects="1" scenarios="1"/>
  <phoneticPr fontId="26" type="noConversion"/>
  <pageMargins left="0.7" right="0.7" top="0.75" bottom="0.75" header="0.3" footer="0.3"/>
  <pageSetup paperSize="9" scale="34"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9E266-FA75-41CD-A4B8-178D11A91441}">
  <sheetPr codeName="Sheet21"/>
  <dimension ref="A1:J50"/>
  <sheetViews>
    <sheetView workbookViewId="0">
      <selection activeCell="C7" sqref="C7"/>
    </sheetView>
  </sheetViews>
  <sheetFormatPr defaultColWidth="9.140625" defaultRowHeight="12.75"/>
  <cols>
    <col min="1" max="1" width="31.5703125" style="120" bestFit="1" customWidth="1"/>
    <col min="2" max="2" width="16.140625" style="120" bestFit="1" customWidth="1"/>
    <col min="3" max="3" width="27.42578125" style="120" customWidth="1"/>
    <col min="4" max="4" width="28.28515625" style="120" customWidth="1"/>
    <col min="5" max="5" width="13" style="120" customWidth="1"/>
    <col min="6" max="6" width="15.140625" style="120" customWidth="1"/>
    <col min="7" max="7" width="11.7109375" style="120" customWidth="1"/>
    <col min="8" max="8" width="10.7109375" style="120" bestFit="1" customWidth="1"/>
    <col min="9" max="9" width="17.5703125" style="120" bestFit="1" customWidth="1"/>
    <col min="10" max="10" width="32.140625" style="120" customWidth="1"/>
    <col min="11" max="16384" width="9.140625" style="120"/>
  </cols>
  <sheetData>
    <row r="1" spans="1:10">
      <c r="A1" s="124" t="s">
        <v>209</v>
      </c>
    </row>
    <row r="2" spans="1:10">
      <c r="A2" s="120" t="s">
        <v>208</v>
      </c>
    </row>
    <row r="3" spans="1:10">
      <c r="A3" s="120" t="s">
        <v>207</v>
      </c>
    </row>
    <row r="5" spans="1:10">
      <c r="A5" s="120" t="s">
        <v>948</v>
      </c>
      <c r="B5" s="121">
        <v>0.02</v>
      </c>
    </row>
    <row r="6" spans="1:10">
      <c r="A6" s="120" t="s">
        <v>947</v>
      </c>
      <c r="B6" s="123">
        <v>0.02</v>
      </c>
    </row>
    <row r="7" spans="1:10">
      <c r="A7" s="120" t="s">
        <v>206</v>
      </c>
      <c r="B7" s="123">
        <v>0.02</v>
      </c>
    </row>
    <row r="8" spans="1:10">
      <c r="A8" s="120" t="s">
        <v>205</v>
      </c>
      <c r="B8" s="123">
        <v>5.2900000000000003E-2</v>
      </c>
    </row>
    <row r="10" spans="1:10">
      <c r="A10" s="120" t="s">
        <v>204</v>
      </c>
      <c r="B10" s="120" t="s">
        <v>5</v>
      </c>
      <c r="C10" s="120" t="s">
        <v>203</v>
      </c>
      <c r="D10" s="120" t="s">
        <v>202</v>
      </c>
      <c r="E10" s="120" t="s">
        <v>101</v>
      </c>
      <c r="F10" s="120" t="s">
        <v>99</v>
      </c>
      <c r="G10" s="120" t="s">
        <v>105</v>
      </c>
      <c r="J10" s="120" t="s">
        <v>495</v>
      </c>
    </row>
    <row r="11" spans="1:10">
      <c r="A11" s="120">
        <v>0</v>
      </c>
      <c r="B11" s="120">
        <v>30</v>
      </c>
    </row>
    <row r="12" spans="1:10">
      <c r="A12" s="120">
        <v>1</v>
      </c>
      <c r="B12" s="120">
        <v>29</v>
      </c>
      <c r="C12" s="120" t="s">
        <v>200</v>
      </c>
      <c r="D12" s="120" t="s">
        <v>200</v>
      </c>
      <c r="E12" s="120" t="s">
        <v>102</v>
      </c>
      <c r="F12" s="120" t="s">
        <v>109</v>
      </c>
      <c r="G12" s="120">
        <v>0</v>
      </c>
      <c r="J12" s="120" t="s">
        <v>305</v>
      </c>
    </row>
    <row r="13" spans="1:10">
      <c r="A13" s="120">
        <v>2</v>
      </c>
      <c r="B13" s="120">
        <v>28</v>
      </c>
      <c r="C13" s="120" t="s">
        <v>141</v>
      </c>
      <c r="D13" s="120" t="s">
        <v>141</v>
      </c>
      <c r="E13" s="120" t="s">
        <v>181</v>
      </c>
      <c r="F13" s="120" t="s">
        <v>100</v>
      </c>
      <c r="G13" s="120">
        <v>1</v>
      </c>
      <c r="J13" s="120" t="s">
        <v>199</v>
      </c>
    </row>
    <row r="14" spans="1:10">
      <c r="A14" s="120">
        <v>3</v>
      </c>
      <c r="B14" s="120">
        <v>27</v>
      </c>
      <c r="C14" s="120" t="s">
        <v>201</v>
      </c>
      <c r="D14" s="120" t="s">
        <v>199</v>
      </c>
      <c r="F14" s="120" t="s">
        <v>110</v>
      </c>
      <c r="G14" s="120">
        <v>2</v>
      </c>
      <c r="J14" s="120" t="s">
        <v>304</v>
      </c>
    </row>
    <row r="15" spans="1:10">
      <c r="A15" s="120">
        <v>4</v>
      </c>
      <c r="B15" s="120">
        <v>26</v>
      </c>
      <c r="C15" s="120" t="s">
        <v>198</v>
      </c>
      <c r="D15" s="120" t="s">
        <v>196</v>
      </c>
      <c r="F15" s="120" t="s">
        <v>111</v>
      </c>
      <c r="G15" s="120">
        <v>3</v>
      </c>
      <c r="J15" s="120" t="s">
        <v>303</v>
      </c>
    </row>
    <row r="16" spans="1:10">
      <c r="A16" s="120">
        <v>5</v>
      </c>
      <c r="B16" s="120">
        <v>25</v>
      </c>
      <c r="C16" s="120" t="s">
        <v>199</v>
      </c>
      <c r="D16" s="120" t="s">
        <v>198</v>
      </c>
      <c r="F16" s="120" t="s">
        <v>952</v>
      </c>
      <c r="G16" s="120">
        <v>4</v>
      </c>
      <c r="J16" s="120" t="s">
        <v>302</v>
      </c>
    </row>
    <row r="17" spans="2:10">
      <c r="B17" s="120">
        <v>24</v>
      </c>
      <c r="C17" s="120" t="s">
        <v>197</v>
      </c>
      <c r="F17" s="120" t="s">
        <v>953</v>
      </c>
      <c r="G17" s="120">
        <v>5</v>
      </c>
      <c r="J17" s="120" t="s">
        <v>194</v>
      </c>
    </row>
    <row r="18" spans="2:10">
      <c r="B18" s="120">
        <v>23</v>
      </c>
      <c r="C18" s="120" t="s">
        <v>196</v>
      </c>
      <c r="G18" s="120">
        <v>6</v>
      </c>
      <c r="J18" s="120" t="s">
        <v>301</v>
      </c>
    </row>
    <row r="19" spans="2:10">
      <c r="B19" s="120">
        <v>22</v>
      </c>
      <c r="C19" s="120" t="s">
        <v>195</v>
      </c>
      <c r="G19" s="120">
        <v>7</v>
      </c>
      <c r="J19" s="120" t="s">
        <v>133</v>
      </c>
    </row>
    <row r="20" spans="2:10">
      <c r="B20" s="120">
        <v>21</v>
      </c>
      <c r="C20" s="120" t="s">
        <v>194</v>
      </c>
      <c r="G20" s="120">
        <v>8</v>
      </c>
    </row>
    <row r="21" spans="2:10">
      <c r="B21" s="120">
        <v>20</v>
      </c>
      <c r="G21" s="120">
        <v>9</v>
      </c>
    </row>
    <row r="22" spans="2:10">
      <c r="B22" s="120">
        <v>19</v>
      </c>
      <c r="G22" s="120">
        <v>10</v>
      </c>
    </row>
    <row r="23" spans="2:10">
      <c r="B23" s="120">
        <v>18</v>
      </c>
    </row>
    <row r="24" spans="2:10">
      <c r="B24" s="120">
        <v>17</v>
      </c>
    </row>
    <row r="25" spans="2:10">
      <c r="B25" s="120">
        <v>16</v>
      </c>
    </row>
    <row r="26" spans="2:10" ht="15">
      <c r="B26" s="120">
        <v>15</v>
      </c>
      <c r="H26" t="s">
        <v>908</v>
      </c>
      <c r="I26" t="s">
        <v>911</v>
      </c>
    </row>
    <row r="27" spans="2:10" ht="15">
      <c r="B27" s="120">
        <v>14</v>
      </c>
      <c r="H27" t="s">
        <v>909</v>
      </c>
      <c r="I27" t="s">
        <v>912</v>
      </c>
    </row>
    <row r="28" spans="2:10" ht="15">
      <c r="B28" s="120">
        <v>13</v>
      </c>
      <c r="H28" t="s">
        <v>33</v>
      </c>
      <c r="I28" t="s">
        <v>913</v>
      </c>
    </row>
    <row r="29" spans="2:10" ht="15">
      <c r="B29" s="120">
        <v>12</v>
      </c>
      <c r="H29" t="s">
        <v>910</v>
      </c>
      <c r="I29" t="s">
        <v>914</v>
      </c>
    </row>
    <row r="30" spans="2:10">
      <c r="B30" s="120">
        <v>11</v>
      </c>
      <c r="I30" s="120" t="s">
        <v>921</v>
      </c>
    </row>
    <row r="31" spans="2:10">
      <c r="B31" s="120">
        <v>10</v>
      </c>
    </row>
    <row r="32" spans="2:10">
      <c r="B32" s="120">
        <v>9</v>
      </c>
    </row>
    <row r="33" spans="1:5">
      <c r="B33" s="120">
        <v>8</v>
      </c>
    </row>
    <row r="34" spans="1:5">
      <c r="B34" s="120">
        <v>7</v>
      </c>
      <c r="D34" s="120" t="s">
        <v>924</v>
      </c>
      <c r="E34" s="120" t="s">
        <v>929</v>
      </c>
    </row>
    <row r="35" spans="1:5">
      <c r="B35" s="120">
        <v>6</v>
      </c>
      <c r="D35" s="120" t="s">
        <v>925</v>
      </c>
      <c r="E35" s="120" t="s">
        <v>930</v>
      </c>
    </row>
    <row r="36" spans="1:5">
      <c r="B36" s="120">
        <v>5</v>
      </c>
      <c r="D36" s="120" t="s">
        <v>926</v>
      </c>
      <c r="E36" s="120" t="s">
        <v>931</v>
      </c>
    </row>
    <row r="37" spans="1:5">
      <c r="B37" s="120">
        <v>4</v>
      </c>
      <c r="D37" s="120" t="s">
        <v>927</v>
      </c>
      <c r="E37" s="120" t="s">
        <v>933</v>
      </c>
    </row>
    <row r="38" spans="1:5">
      <c r="B38" s="120">
        <v>3</v>
      </c>
      <c r="D38" s="120" t="s">
        <v>928</v>
      </c>
      <c r="E38" s="120" t="s">
        <v>932</v>
      </c>
    </row>
    <row r="39" spans="1:5">
      <c r="B39" s="120">
        <v>2</v>
      </c>
      <c r="D39" s="120" t="s">
        <v>194</v>
      </c>
      <c r="E39" s="120" t="s">
        <v>194</v>
      </c>
    </row>
    <row r="40" spans="1:5">
      <c r="B40" s="120">
        <v>1</v>
      </c>
    </row>
    <row r="41" spans="1:5">
      <c r="B41" s="120">
        <v>0</v>
      </c>
    </row>
    <row r="43" spans="1:5">
      <c r="A43" s="120" t="s">
        <v>193</v>
      </c>
      <c r="B43" s="122">
        <v>0.8</v>
      </c>
    </row>
    <row r="44" spans="1:5">
      <c r="A44" s="120" t="s">
        <v>192</v>
      </c>
      <c r="B44" s="122">
        <v>0.8</v>
      </c>
    </row>
    <row r="45" spans="1:5">
      <c r="A45" s="120" t="s">
        <v>191</v>
      </c>
      <c r="B45" s="122">
        <v>0.8</v>
      </c>
    </row>
    <row r="47" spans="1:5">
      <c r="A47" s="120" t="s">
        <v>190</v>
      </c>
      <c r="B47" s="121">
        <v>0.02</v>
      </c>
    </row>
    <row r="50" spans="4:4">
      <c r="D50" s="120" t="e">
        <f>IF(#REF!="No",IF(B42+RepayCalculator!B6&lt;RepayCalculator!B8,RepayCalculator!#REF!,RepayCalculator!#REF!))</f>
        <v>#REF!</v>
      </c>
    </row>
  </sheetData>
  <sheetProtection algorithmName="SHA-512" hashValue="KS+cLRprwAUon1yfPcujpLyQkK66J6AnP6u0fzcBDmvJSbKTLTMNhDaF97hK+soxoD/cSoUx0cvr3bEsqGTZ4A==" saltValue="b7LvyqjJpQVV11y4dQPSEg==" spinCount="100000" sheet="1" objects="1" scenarios="1"/>
  <phoneticPr fontId="26" type="noConversion"/>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84E19-8F30-4077-913D-7638F95C5353}">
  <sheetPr codeName="Sheet25"/>
  <dimension ref="A1:G157"/>
  <sheetViews>
    <sheetView workbookViewId="0">
      <selection activeCell="I28" sqref="I28"/>
    </sheetView>
  </sheetViews>
  <sheetFormatPr defaultColWidth="11.42578125" defaultRowHeight="12.75"/>
  <cols>
    <col min="1" max="1" width="18.5703125" style="105" customWidth="1"/>
    <col min="2" max="4" width="11.42578125" style="105" hidden="1" customWidth="1"/>
    <col min="5" max="5" width="17.85546875" style="105" customWidth="1"/>
    <col min="6" max="6" width="19.140625" style="105" customWidth="1"/>
    <col min="7" max="7" width="32.5703125" style="161" customWidth="1"/>
    <col min="8" max="16384" width="11.42578125" style="105"/>
  </cols>
  <sheetData>
    <row r="1" spans="1:7">
      <c r="A1" s="164"/>
      <c r="B1" s="164"/>
      <c r="C1" s="164"/>
      <c r="D1" s="164"/>
    </row>
    <row r="2" spans="1:7">
      <c r="A2" s="186"/>
      <c r="B2" s="164"/>
      <c r="C2" s="164"/>
      <c r="D2" s="164"/>
    </row>
    <row r="3" spans="1:7" ht="15.75">
      <c r="A3" s="171"/>
      <c r="B3" s="171"/>
      <c r="C3" s="164" t="s">
        <v>102</v>
      </c>
      <c r="D3" s="164" t="s">
        <v>494</v>
      </c>
      <c r="E3" s="870" t="s">
        <v>493</v>
      </c>
      <c r="F3" s="870"/>
      <c r="G3" s="870"/>
    </row>
    <row r="4" spans="1:7">
      <c r="A4" s="178"/>
      <c r="B4" s="164"/>
      <c r="C4" s="164"/>
      <c r="D4" s="164"/>
    </row>
    <row r="5" spans="1:7">
      <c r="A5" s="178"/>
      <c r="B5" s="164">
        <v>0</v>
      </c>
      <c r="C5" s="174" t="e">
        <f>#REF!</f>
        <v>#REF!</v>
      </c>
      <c r="D5" s="173" t="e">
        <f>#REF!</f>
        <v>#REF!</v>
      </c>
      <c r="E5" s="185"/>
      <c r="F5" s="179" t="s">
        <v>179</v>
      </c>
      <c r="G5" s="179" t="s">
        <v>178</v>
      </c>
    </row>
    <row r="6" spans="1:7">
      <c r="A6" s="178"/>
      <c r="B6" s="175">
        <v>999</v>
      </c>
      <c r="C6" s="174" t="e">
        <f>#REF!</f>
        <v>#REF!</v>
      </c>
      <c r="D6" s="173" t="e">
        <f>#REF!</f>
        <v>#REF!</v>
      </c>
      <c r="E6" s="176" t="s">
        <v>102</v>
      </c>
      <c r="F6" s="184"/>
      <c r="G6" s="183">
        <f>F6*52/12</f>
        <v>0</v>
      </c>
    </row>
    <row r="7" spans="1:7">
      <c r="A7" s="178"/>
      <c r="B7" s="175">
        <v>1499</v>
      </c>
      <c r="C7" s="174" t="e">
        <f>#REF!</f>
        <v>#REF!</v>
      </c>
      <c r="D7" s="173" t="e">
        <f>#REF!</f>
        <v>#REF!</v>
      </c>
      <c r="E7" s="176" t="s">
        <v>177</v>
      </c>
      <c r="F7" s="184"/>
      <c r="G7" s="183">
        <f>F7*52/12</f>
        <v>0</v>
      </c>
    </row>
    <row r="8" spans="1:7">
      <c r="A8" s="178"/>
      <c r="B8" s="175">
        <v>1999</v>
      </c>
      <c r="C8" s="174" t="e">
        <f>#REF!</f>
        <v>#REF!</v>
      </c>
      <c r="D8" s="173" t="e">
        <f>#REF!</f>
        <v>#REF!</v>
      </c>
      <c r="E8" s="176" t="s">
        <v>175</v>
      </c>
      <c r="F8" s="184"/>
      <c r="G8" s="183">
        <f>(F8-F6)*52/12</f>
        <v>0</v>
      </c>
    </row>
    <row r="9" spans="1:7">
      <c r="A9" s="178"/>
      <c r="B9" s="175">
        <v>2499</v>
      </c>
      <c r="C9" s="174" t="e">
        <f>#REF!</f>
        <v>#REF!</v>
      </c>
      <c r="D9" s="174" t="e">
        <f>#REF!</f>
        <v>#REF!</v>
      </c>
    </row>
    <row r="10" spans="1:7">
      <c r="A10" s="178"/>
      <c r="B10" s="175">
        <v>2999</v>
      </c>
      <c r="C10" s="174" t="e">
        <f>#REF!</f>
        <v>#REF!</v>
      </c>
      <c r="D10" s="174" t="e">
        <f>#REF!</f>
        <v>#REF!</v>
      </c>
    </row>
    <row r="11" spans="1:7">
      <c r="A11" s="178"/>
      <c r="B11" s="175">
        <v>3499</v>
      </c>
      <c r="C11" s="174" t="e">
        <f>#REF!</f>
        <v>#REF!</v>
      </c>
      <c r="D11" s="174" t="e">
        <f>#REF!</f>
        <v>#REF!</v>
      </c>
      <c r="E11" s="182"/>
      <c r="F11" s="181"/>
    </row>
    <row r="12" spans="1:7">
      <c r="A12" s="178"/>
      <c r="B12" s="175">
        <v>3999</v>
      </c>
      <c r="C12" s="174" t="e">
        <f>#REF!</f>
        <v>#REF!</v>
      </c>
      <c r="D12" s="174" t="e">
        <f>#REF!</f>
        <v>#REF!</v>
      </c>
    </row>
    <row r="13" spans="1:7">
      <c r="A13" s="178"/>
      <c r="B13" s="175">
        <v>4499</v>
      </c>
      <c r="C13" s="174" t="e">
        <f>#REF!</f>
        <v>#REF!</v>
      </c>
      <c r="D13" s="174" t="e">
        <f>#REF!</f>
        <v>#REF!</v>
      </c>
    </row>
    <row r="14" spans="1:7">
      <c r="A14" s="178"/>
      <c r="B14" s="175">
        <v>4999</v>
      </c>
      <c r="C14" s="174" t="e">
        <f>#REF!</f>
        <v>#REF!</v>
      </c>
      <c r="D14" s="174" t="e">
        <f>#REF!</f>
        <v>#REF!</v>
      </c>
      <c r="E14" s="182"/>
    </row>
    <row r="15" spans="1:7">
      <c r="A15" s="178"/>
      <c r="B15" s="175">
        <v>5499</v>
      </c>
      <c r="C15" s="174" t="e">
        <f>#REF!</f>
        <v>#REF!</v>
      </c>
      <c r="D15" s="174" t="e">
        <f>#REF!</f>
        <v>#REF!</v>
      </c>
      <c r="E15" s="181" t="s">
        <v>564</v>
      </c>
    </row>
    <row r="16" spans="1:7">
      <c r="A16" s="178"/>
      <c r="B16" s="175">
        <v>5999</v>
      </c>
      <c r="C16" s="174" t="e">
        <f>#REF!</f>
        <v>#REF!</v>
      </c>
      <c r="D16" s="174" t="e">
        <f>#REF!</f>
        <v>#REF!</v>
      </c>
    </row>
    <row r="17" spans="1:7" ht="15">
      <c r="A17" s="178"/>
      <c r="B17" s="175">
        <v>6499</v>
      </c>
      <c r="C17" s="174" t="e">
        <f>#REF!</f>
        <v>#REF!</v>
      </c>
      <c r="D17" s="174" t="e">
        <f>#REF!</f>
        <v>#REF!</v>
      </c>
      <c r="E17" s="176" t="s">
        <v>166</v>
      </c>
      <c r="F17" s="180"/>
    </row>
    <row r="18" spans="1:7">
      <c r="A18" s="178"/>
      <c r="B18" s="175">
        <v>6999</v>
      </c>
      <c r="C18" s="174" t="e">
        <f>#REF!</f>
        <v>#REF!</v>
      </c>
      <c r="D18" s="174" t="e">
        <f>#REF!</f>
        <v>#REF!</v>
      </c>
    </row>
    <row r="19" spans="1:7">
      <c r="A19" s="178"/>
      <c r="B19" s="175">
        <v>7499</v>
      </c>
      <c r="C19" s="174" t="e">
        <f>#REF!</f>
        <v>#REF!</v>
      </c>
      <c r="D19" s="174" t="e">
        <f>#REF!</f>
        <v>#REF!</v>
      </c>
      <c r="E19" s="179" t="s">
        <v>492</v>
      </c>
      <c r="F19" s="179" t="s">
        <v>491</v>
      </c>
      <c r="G19" s="179" t="s">
        <v>490</v>
      </c>
    </row>
    <row r="20" spans="1:7">
      <c r="A20" s="178"/>
      <c r="B20" s="175">
        <v>7999</v>
      </c>
      <c r="C20" s="174" t="e">
        <f>#REF!</f>
        <v>#REF!</v>
      </c>
      <c r="D20" s="173" t="e">
        <f>#REF!</f>
        <v>#REF!</v>
      </c>
      <c r="E20" s="176" t="s">
        <v>496</v>
      </c>
      <c r="F20" s="177">
        <v>26.33</v>
      </c>
      <c r="G20" s="176" t="s">
        <v>531</v>
      </c>
    </row>
    <row r="21" spans="1:7">
      <c r="A21" s="178"/>
      <c r="B21" s="175">
        <v>8499</v>
      </c>
      <c r="C21" s="174" t="e">
        <f>#REF!</f>
        <v>#REF!</v>
      </c>
      <c r="D21" s="173" t="e">
        <f>#REF!</f>
        <v>#REF!</v>
      </c>
      <c r="E21" s="176" t="s">
        <v>489</v>
      </c>
      <c r="F21" s="177">
        <v>40.25</v>
      </c>
      <c r="G21" s="176" t="s">
        <v>488</v>
      </c>
    </row>
    <row r="22" spans="1:7">
      <c r="A22" s="178"/>
      <c r="B22" s="175">
        <v>8999</v>
      </c>
      <c r="C22" s="174" t="e">
        <f>#REF!</f>
        <v>#REF!</v>
      </c>
      <c r="D22" s="173" t="e">
        <f>#REF!</f>
        <v>#REF!</v>
      </c>
      <c r="E22" s="176" t="s">
        <v>487</v>
      </c>
      <c r="F22" s="177">
        <v>28.31</v>
      </c>
      <c r="G22" s="176" t="s">
        <v>486</v>
      </c>
    </row>
    <row r="23" spans="1:7">
      <c r="A23" s="178"/>
      <c r="B23" s="175">
        <v>9499</v>
      </c>
      <c r="C23" s="174" t="e">
        <f>#REF!</f>
        <v>#REF!</v>
      </c>
      <c r="D23" s="173" t="e">
        <f>#REF!</f>
        <v>#REF!</v>
      </c>
      <c r="E23" s="176" t="s">
        <v>485</v>
      </c>
      <c r="F23" s="177">
        <v>37.869999999999997</v>
      </c>
      <c r="G23" s="176" t="s">
        <v>484</v>
      </c>
    </row>
    <row r="24" spans="1:7">
      <c r="A24" s="178"/>
      <c r="B24" s="175">
        <v>9999</v>
      </c>
      <c r="C24" s="174" t="e">
        <f>#REF!</f>
        <v>#REF!</v>
      </c>
      <c r="D24" s="173" t="e">
        <f>#REF!</f>
        <v>#REF!</v>
      </c>
      <c r="E24" s="176" t="s">
        <v>483</v>
      </c>
      <c r="F24" s="177">
        <v>31.68</v>
      </c>
      <c r="G24" s="176" t="s">
        <v>482</v>
      </c>
    </row>
    <row r="25" spans="1:7">
      <c r="A25" s="178"/>
      <c r="B25" s="175"/>
      <c r="C25" s="174"/>
      <c r="D25" s="173"/>
      <c r="E25" s="176" t="s">
        <v>166</v>
      </c>
      <c r="F25" s="177">
        <v>84.14</v>
      </c>
      <c r="G25" s="176" t="s">
        <v>481</v>
      </c>
    </row>
    <row r="26" spans="1:7">
      <c r="A26" s="178"/>
      <c r="B26" s="175">
        <v>10999</v>
      </c>
      <c r="C26" s="174" t="e">
        <f>#REF!</f>
        <v>#REF!</v>
      </c>
      <c r="D26" s="173" t="e">
        <f>#REF!</f>
        <v>#REF!</v>
      </c>
      <c r="E26" s="176" t="s">
        <v>480</v>
      </c>
      <c r="F26" s="177">
        <v>75.489999999999995</v>
      </c>
      <c r="G26" s="176" t="s">
        <v>338</v>
      </c>
    </row>
    <row r="27" spans="1:7">
      <c r="A27" s="178"/>
      <c r="B27" s="175">
        <v>11499</v>
      </c>
      <c r="C27" s="174" t="e">
        <f>#REF!</f>
        <v>#REF!</v>
      </c>
      <c r="D27" s="173" t="e">
        <f>#REF!</f>
        <v>#REF!</v>
      </c>
      <c r="E27" s="176" t="s">
        <v>479</v>
      </c>
      <c r="F27" s="177">
        <v>30.9</v>
      </c>
      <c r="G27" s="176" t="s">
        <v>478</v>
      </c>
    </row>
    <row r="28" spans="1:7">
      <c r="A28" s="178"/>
      <c r="B28" s="175">
        <v>11999</v>
      </c>
      <c r="C28" s="174" t="e">
        <f>#REF!</f>
        <v>#REF!</v>
      </c>
      <c r="D28" s="173" t="e">
        <f>#REF!</f>
        <v>#REF!</v>
      </c>
      <c r="E28" s="176" t="s">
        <v>477</v>
      </c>
      <c r="F28" s="177">
        <v>85.85</v>
      </c>
      <c r="G28" s="176" t="s">
        <v>476</v>
      </c>
    </row>
    <row r="29" spans="1:7">
      <c r="A29" s="178"/>
      <c r="B29" s="175">
        <v>12499</v>
      </c>
      <c r="C29" s="174" t="e">
        <f>#REF!</f>
        <v>#REF!</v>
      </c>
      <c r="D29" s="173" t="e">
        <f>#REF!</f>
        <v>#REF!</v>
      </c>
      <c r="E29" s="176" t="s">
        <v>475</v>
      </c>
      <c r="F29" s="177">
        <v>57.7</v>
      </c>
      <c r="G29" s="176" t="s">
        <v>474</v>
      </c>
    </row>
    <row r="30" spans="1:7">
      <c r="A30" s="178"/>
      <c r="B30" s="175">
        <v>12999</v>
      </c>
      <c r="C30" s="174" t="e">
        <f>#REF!</f>
        <v>#REF!</v>
      </c>
      <c r="D30" s="173" t="e">
        <f>#REF!</f>
        <v>#REF!</v>
      </c>
      <c r="E30" s="176" t="s">
        <v>473</v>
      </c>
      <c r="F30" s="177">
        <v>33.31</v>
      </c>
      <c r="G30" s="176" t="s">
        <v>472</v>
      </c>
    </row>
    <row r="31" spans="1:7">
      <c r="A31" s="178"/>
      <c r="B31" s="175">
        <v>13499</v>
      </c>
      <c r="C31" s="174" t="e">
        <f>#REF!</f>
        <v>#REF!</v>
      </c>
      <c r="D31" s="173" t="e">
        <f>#REF!</f>
        <v>#REF!</v>
      </c>
      <c r="E31" s="176" t="s">
        <v>497</v>
      </c>
      <c r="F31" s="177">
        <v>81.489999999999995</v>
      </c>
      <c r="G31" s="176" t="s">
        <v>532</v>
      </c>
    </row>
    <row r="32" spans="1:7">
      <c r="A32" s="178"/>
      <c r="B32" s="175">
        <v>14499</v>
      </c>
      <c r="C32" s="174" t="e">
        <f>#REF!</f>
        <v>#REF!</v>
      </c>
      <c r="D32" s="173" t="e">
        <f>#REF!</f>
        <v>#REF!</v>
      </c>
      <c r="E32" s="176" t="s">
        <v>471</v>
      </c>
      <c r="F32" s="177">
        <v>30.69</v>
      </c>
      <c r="G32" s="176" t="s">
        <v>470</v>
      </c>
    </row>
    <row r="33" spans="1:7">
      <c r="A33" s="178"/>
      <c r="B33" s="175">
        <v>14999</v>
      </c>
      <c r="C33" s="174" t="e">
        <f>#REF!</f>
        <v>#REF!</v>
      </c>
      <c r="D33" s="173" t="e">
        <f>#REF!</f>
        <v>#REF!</v>
      </c>
      <c r="E33" s="176" t="s">
        <v>469</v>
      </c>
      <c r="F33" s="177">
        <v>78.52</v>
      </c>
      <c r="G33" s="176" t="s">
        <v>338</v>
      </c>
    </row>
    <row r="34" spans="1:7">
      <c r="A34" s="178"/>
      <c r="B34" s="175">
        <v>15499</v>
      </c>
      <c r="C34" s="174" t="e">
        <f>#REF!</f>
        <v>#REF!</v>
      </c>
      <c r="D34" s="173" t="e">
        <f>#REF!</f>
        <v>#REF!</v>
      </c>
      <c r="E34" s="176" t="s">
        <v>498</v>
      </c>
      <c r="F34" s="177">
        <v>52.45</v>
      </c>
      <c r="G34" s="176" t="s">
        <v>533</v>
      </c>
    </row>
    <row r="35" spans="1:7">
      <c r="A35" s="178"/>
      <c r="B35" s="175">
        <v>15999</v>
      </c>
      <c r="C35" s="174" t="e">
        <f>#REF!</f>
        <v>#REF!</v>
      </c>
      <c r="D35" s="173" t="e">
        <f>#REF!</f>
        <v>#REF!</v>
      </c>
      <c r="E35" s="176" t="s">
        <v>499</v>
      </c>
      <c r="F35" s="177">
        <v>145.07</v>
      </c>
      <c r="G35" s="176" t="s">
        <v>535</v>
      </c>
    </row>
    <row r="36" spans="1:7">
      <c r="A36" s="178"/>
      <c r="B36" s="175">
        <v>16499</v>
      </c>
      <c r="C36" s="174" t="e">
        <f>#REF!</f>
        <v>#REF!</v>
      </c>
      <c r="D36" s="173" t="e">
        <f>#REF!</f>
        <v>#REF!</v>
      </c>
      <c r="E36" s="176" t="s">
        <v>468</v>
      </c>
      <c r="F36" s="177">
        <v>36.11</v>
      </c>
      <c r="G36" s="176" t="s">
        <v>467</v>
      </c>
    </row>
    <row r="37" spans="1:7">
      <c r="A37" s="178"/>
      <c r="B37" s="175">
        <v>16999</v>
      </c>
      <c r="C37" s="174" t="e">
        <f>#REF!</f>
        <v>#REF!</v>
      </c>
      <c r="D37" s="173" t="e">
        <f>#REF!</f>
        <v>#REF!</v>
      </c>
      <c r="E37" s="176" t="s">
        <v>500</v>
      </c>
      <c r="F37" s="177">
        <v>38.56</v>
      </c>
      <c r="G37" s="176" t="s">
        <v>466</v>
      </c>
    </row>
    <row r="38" spans="1:7">
      <c r="A38" s="178"/>
      <c r="B38" s="175">
        <v>17499</v>
      </c>
      <c r="C38" s="174" t="e">
        <f>#REF!</f>
        <v>#REF!</v>
      </c>
      <c r="D38" s="173" t="e">
        <f>#REF!</f>
        <v>#REF!</v>
      </c>
      <c r="E38" s="176" t="s">
        <v>501</v>
      </c>
      <c r="F38" s="177">
        <v>40.409999999999997</v>
      </c>
      <c r="G38" s="176" t="s">
        <v>536</v>
      </c>
    </row>
    <row r="39" spans="1:7">
      <c r="A39" s="178"/>
      <c r="B39" s="175">
        <v>17999</v>
      </c>
      <c r="C39" s="174" t="e">
        <f>#REF!</f>
        <v>#REF!</v>
      </c>
      <c r="D39" s="173" t="e">
        <f>#REF!</f>
        <v>#REF!</v>
      </c>
      <c r="E39" s="176" t="s">
        <v>465</v>
      </c>
      <c r="F39" s="177">
        <v>31.82</v>
      </c>
      <c r="G39" s="176" t="s">
        <v>464</v>
      </c>
    </row>
    <row r="40" spans="1:7">
      <c r="A40" s="178"/>
      <c r="B40" s="175">
        <v>18499</v>
      </c>
      <c r="C40" s="174" t="e">
        <f>#REF!</f>
        <v>#REF!</v>
      </c>
      <c r="D40" s="173" t="e">
        <f>#REF!</f>
        <v>#REF!</v>
      </c>
      <c r="E40" s="176" t="s">
        <v>502</v>
      </c>
      <c r="F40" s="177">
        <v>49.35</v>
      </c>
      <c r="G40" s="176" t="s">
        <v>537</v>
      </c>
    </row>
    <row r="41" spans="1:7">
      <c r="A41" s="178"/>
      <c r="B41" s="175">
        <v>18999</v>
      </c>
      <c r="C41" s="174" t="e">
        <f>#REF!</f>
        <v>#REF!</v>
      </c>
      <c r="D41" s="173" t="e">
        <f>#REF!</f>
        <v>#REF!</v>
      </c>
      <c r="E41" s="176" t="s">
        <v>463</v>
      </c>
      <c r="F41" s="177">
        <v>40.92</v>
      </c>
      <c r="G41" s="176" t="s">
        <v>462</v>
      </c>
    </row>
    <row r="42" spans="1:7">
      <c r="A42" s="164"/>
      <c r="B42" s="175">
        <v>19499</v>
      </c>
      <c r="C42" s="174" t="e">
        <f>#REF!</f>
        <v>#REF!</v>
      </c>
      <c r="D42" s="173" t="e">
        <f>#REF!</f>
        <v>#REF!</v>
      </c>
      <c r="E42" s="176" t="s">
        <v>461</v>
      </c>
      <c r="F42" s="177">
        <v>47.91</v>
      </c>
      <c r="G42" s="176" t="s">
        <v>460</v>
      </c>
    </row>
    <row r="43" spans="1:7">
      <c r="A43" s="164"/>
      <c r="B43" s="175"/>
      <c r="C43" s="174"/>
      <c r="D43" s="173"/>
      <c r="E43" s="176" t="s">
        <v>503</v>
      </c>
      <c r="F43" s="177">
        <v>42.57</v>
      </c>
      <c r="G43" s="176" t="s">
        <v>538</v>
      </c>
    </row>
    <row r="44" spans="1:7">
      <c r="A44" s="164"/>
      <c r="B44" s="175"/>
      <c r="C44" s="174"/>
      <c r="D44" s="173"/>
      <c r="E44" s="176" t="s">
        <v>459</v>
      </c>
      <c r="F44" s="177">
        <v>70.08</v>
      </c>
      <c r="G44" s="176" t="s">
        <v>458</v>
      </c>
    </row>
    <row r="45" spans="1:7">
      <c r="A45" s="164"/>
      <c r="B45" s="175"/>
      <c r="C45" s="174"/>
      <c r="D45" s="173"/>
      <c r="E45" s="176" t="s">
        <v>457</v>
      </c>
      <c r="F45" s="177">
        <v>49.33</v>
      </c>
      <c r="G45" s="176" t="s">
        <v>456</v>
      </c>
    </row>
    <row r="46" spans="1:7">
      <c r="A46" s="164"/>
      <c r="B46" s="175"/>
      <c r="C46" s="174"/>
      <c r="D46" s="173"/>
      <c r="E46" s="176" t="s">
        <v>306</v>
      </c>
      <c r="F46" s="177">
        <v>42.54</v>
      </c>
      <c r="G46" s="176" t="s">
        <v>455</v>
      </c>
    </row>
    <row r="47" spans="1:7">
      <c r="A47" s="164"/>
      <c r="B47" s="175"/>
      <c r="C47" s="174"/>
      <c r="D47" s="173"/>
      <c r="E47" s="176" t="s">
        <v>454</v>
      </c>
      <c r="F47" s="177">
        <v>31</v>
      </c>
      <c r="G47" s="176" t="s">
        <v>453</v>
      </c>
    </row>
    <row r="48" spans="1:7">
      <c r="A48" s="164"/>
      <c r="B48" s="175"/>
      <c r="C48" s="174"/>
      <c r="D48" s="173"/>
      <c r="E48" s="176" t="s">
        <v>452</v>
      </c>
      <c r="F48" s="177">
        <v>50.64</v>
      </c>
      <c r="G48" s="176" t="s">
        <v>451</v>
      </c>
    </row>
    <row r="49" spans="1:7">
      <c r="A49" s="164"/>
      <c r="B49" s="175"/>
      <c r="C49" s="174"/>
      <c r="D49" s="173"/>
      <c r="E49" s="176" t="s">
        <v>450</v>
      </c>
      <c r="F49" s="177">
        <v>56.36</v>
      </c>
      <c r="G49" s="176" t="s">
        <v>449</v>
      </c>
    </row>
    <row r="50" spans="1:7">
      <c r="A50" s="164"/>
      <c r="B50" s="175"/>
      <c r="C50" s="174"/>
      <c r="D50" s="173"/>
      <c r="E50" s="176" t="s">
        <v>504</v>
      </c>
      <c r="F50" s="177">
        <v>55.54</v>
      </c>
      <c r="G50" s="176" t="s">
        <v>539</v>
      </c>
    </row>
    <row r="51" spans="1:7">
      <c r="A51" s="164"/>
      <c r="B51" s="175"/>
      <c r="C51" s="174"/>
      <c r="D51" s="173"/>
      <c r="E51" s="176" t="s">
        <v>448</v>
      </c>
      <c r="F51" s="177">
        <v>64.05</v>
      </c>
      <c r="G51" s="176" t="s">
        <v>338</v>
      </c>
    </row>
    <row r="52" spans="1:7">
      <c r="A52" s="164"/>
      <c r="B52" s="175"/>
      <c r="C52" s="174"/>
      <c r="D52" s="173"/>
      <c r="E52" s="176" t="s">
        <v>447</v>
      </c>
      <c r="F52" s="177">
        <v>49.18</v>
      </c>
      <c r="G52" s="176" t="s">
        <v>446</v>
      </c>
    </row>
    <row r="53" spans="1:7">
      <c r="A53" s="164"/>
      <c r="B53" s="175"/>
      <c r="C53" s="174"/>
      <c r="D53" s="173"/>
      <c r="E53" s="176" t="s">
        <v>445</v>
      </c>
      <c r="F53" s="177">
        <v>91.67</v>
      </c>
      <c r="G53" s="176" t="s">
        <v>444</v>
      </c>
    </row>
    <row r="54" spans="1:7">
      <c r="A54" s="164"/>
      <c r="B54" s="175"/>
      <c r="C54" s="174"/>
      <c r="D54" s="173"/>
      <c r="E54" s="176" t="s">
        <v>443</v>
      </c>
      <c r="F54" s="177">
        <v>41.54</v>
      </c>
      <c r="G54" s="176" t="s">
        <v>442</v>
      </c>
    </row>
    <row r="55" spans="1:7">
      <c r="A55" s="164"/>
      <c r="B55" s="175"/>
      <c r="C55" s="174"/>
      <c r="D55" s="173"/>
      <c r="E55" s="176" t="s">
        <v>441</v>
      </c>
      <c r="F55" s="177">
        <v>40.08</v>
      </c>
      <c r="G55" s="176" t="s">
        <v>312</v>
      </c>
    </row>
    <row r="56" spans="1:7">
      <c r="A56" s="164"/>
      <c r="B56" s="175"/>
      <c r="C56" s="174"/>
      <c r="D56" s="173"/>
      <c r="E56" s="176" t="s">
        <v>440</v>
      </c>
      <c r="F56" s="177">
        <v>30.1</v>
      </c>
      <c r="G56" s="176" t="s">
        <v>439</v>
      </c>
    </row>
    <row r="57" spans="1:7">
      <c r="A57" s="164"/>
      <c r="B57" s="175">
        <v>19999</v>
      </c>
      <c r="C57" s="174" t="e">
        <f>#REF!</f>
        <v>#REF!</v>
      </c>
      <c r="D57" s="173" t="e">
        <f>#REF!</f>
        <v>#REF!</v>
      </c>
      <c r="E57" s="162" t="s">
        <v>438</v>
      </c>
      <c r="F57" s="163">
        <v>44.57</v>
      </c>
      <c r="G57" s="162" t="s">
        <v>437</v>
      </c>
    </row>
    <row r="58" spans="1:7">
      <c r="A58" s="172"/>
      <c r="B58" s="171"/>
      <c r="C58" s="168"/>
      <c r="D58" s="164"/>
      <c r="E58" s="162" t="s">
        <v>436</v>
      </c>
      <c r="F58" s="163">
        <v>56.45</v>
      </c>
      <c r="G58" s="162" t="s">
        <v>338</v>
      </c>
    </row>
    <row r="59" spans="1:7">
      <c r="A59" s="164"/>
      <c r="B59" s="171"/>
      <c r="C59" s="168"/>
      <c r="D59" s="164"/>
      <c r="E59" s="162" t="s">
        <v>505</v>
      </c>
      <c r="F59" s="163">
        <v>54.3</v>
      </c>
      <c r="G59" s="162" t="s">
        <v>540</v>
      </c>
    </row>
    <row r="60" spans="1:7">
      <c r="A60" s="164"/>
      <c r="B60" s="164"/>
      <c r="C60" s="168"/>
      <c r="D60" s="164"/>
      <c r="E60" s="162" t="s">
        <v>506</v>
      </c>
      <c r="F60" s="163">
        <v>48.54</v>
      </c>
      <c r="G60" s="162" t="s">
        <v>541</v>
      </c>
    </row>
    <row r="61" spans="1:7">
      <c r="A61" s="164"/>
      <c r="B61" s="170"/>
      <c r="C61" s="168"/>
      <c r="D61" s="164"/>
      <c r="E61" s="162" t="s">
        <v>435</v>
      </c>
      <c r="F61" s="163">
        <v>77.459999999999994</v>
      </c>
      <c r="G61" s="162" t="s">
        <v>338</v>
      </c>
    </row>
    <row r="62" spans="1:7">
      <c r="A62" s="164"/>
      <c r="B62" s="169"/>
      <c r="C62" s="168"/>
      <c r="D62" s="164"/>
      <c r="E62" s="162" t="s">
        <v>434</v>
      </c>
      <c r="F62" s="163">
        <v>80.62</v>
      </c>
      <c r="G62" s="162" t="s">
        <v>338</v>
      </c>
    </row>
    <row r="63" spans="1:7">
      <c r="A63" s="164"/>
      <c r="B63" s="164"/>
      <c r="C63" s="168"/>
      <c r="D63" s="164"/>
      <c r="E63" s="162" t="s">
        <v>433</v>
      </c>
      <c r="F63" s="163">
        <v>28.05</v>
      </c>
      <c r="G63" s="162" t="s">
        <v>432</v>
      </c>
    </row>
    <row r="64" spans="1:7">
      <c r="A64" s="164"/>
      <c r="B64" s="164"/>
      <c r="C64" s="168"/>
      <c r="D64" s="164"/>
      <c r="E64" s="162" t="s">
        <v>431</v>
      </c>
      <c r="F64" s="163">
        <v>70.62</v>
      </c>
      <c r="G64" s="162" t="s">
        <v>338</v>
      </c>
    </row>
    <row r="65" spans="1:7">
      <c r="A65" s="166"/>
      <c r="B65" s="164"/>
      <c r="C65" s="168"/>
      <c r="D65" s="164"/>
      <c r="E65" s="162" t="s">
        <v>430</v>
      </c>
      <c r="F65" s="163">
        <v>40.630000000000003</v>
      </c>
      <c r="G65" s="162" t="s">
        <v>429</v>
      </c>
    </row>
    <row r="66" spans="1:7">
      <c r="A66" s="164"/>
      <c r="B66" s="164"/>
      <c r="C66" s="168"/>
      <c r="D66" s="164"/>
      <c r="E66" s="162" t="s">
        <v>428</v>
      </c>
      <c r="F66" s="163">
        <v>60.96</v>
      </c>
      <c r="G66" s="162" t="s">
        <v>338</v>
      </c>
    </row>
    <row r="67" spans="1:7">
      <c r="A67" s="165"/>
      <c r="B67" s="164"/>
      <c r="C67" s="168"/>
      <c r="D67" s="164"/>
      <c r="E67" s="162" t="s">
        <v>427</v>
      </c>
      <c r="F67" s="163">
        <v>44.76</v>
      </c>
      <c r="G67" s="162" t="s">
        <v>426</v>
      </c>
    </row>
    <row r="68" spans="1:7">
      <c r="A68" s="164"/>
      <c r="B68" s="164"/>
      <c r="C68" s="168"/>
      <c r="D68" s="164"/>
      <c r="E68" s="162" t="s">
        <v>425</v>
      </c>
      <c r="F68" s="163">
        <v>42.2</v>
      </c>
      <c r="G68" s="162" t="s">
        <v>424</v>
      </c>
    </row>
    <row r="69" spans="1:7">
      <c r="A69" s="166"/>
      <c r="B69" s="164"/>
      <c r="C69" s="168"/>
      <c r="D69" s="164"/>
      <c r="E69" s="162" t="s">
        <v>423</v>
      </c>
      <c r="F69" s="163">
        <v>79.94</v>
      </c>
      <c r="G69" s="162" t="s">
        <v>422</v>
      </c>
    </row>
    <row r="70" spans="1:7">
      <c r="A70" s="164"/>
      <c r="B70" s="164"/>
      <c r="C70" s="164"/>
      <c r="D70" s="164"/>
      <c r="E70" s="162" t="s">
        <v>421</v>
      </c>
      <c r="F70" s="163">
        <v>42.75</v>
      </c>
      <c r="G70" s="162" t="s">
        <v>420</v>
      </c>
    </row>
    <row r="71" spans="1:7">
      <c r="A71" s="164"/>
      <c r="B71" s="164"/>
      <c r="C71" s="164"/>
      <c r="D71" s="164"/>
      <c r="E71" s="162" t="s">
        <v>419</v>
      </c>
      <c r="F71" s="163">
        <v>96.77</v>
      </c>
      <c r="G71" s="162" t="s">
        <v>418</v>
      </c>
    </row>
    <row r="72" spans="1:7">
      <c r="A72" s="164"/>
      <c r="B72" s="164"/>
      <c r="C72" s="164"/>
      <c r="D72" s="164"/>
      <c r="E72" s="162" t="s">
        <v>417</v>
      </c>
      <c r="F72" s="163">
        <v>25.16</v>
      </c>
      <c r="G72" s="162" t="s">
        <v>416</v>
      </c>
    </row>
    <row r="73" spans="1:7">
      <c r="A73" s="167"/>
      <c r="B73" s="164"/>
      <c r="C73" s="164"/>
      <c r="D73" s="164"/>
      <c r="E73" s="162" t="s">
        <v>415</v>
      </c>
      <c r="F73" s="163">
        <v>37.44</v>
      </c>
      <c r="G73" s="162" t="s">
        <v>414</v>
      </c>
    </row>
    <row r="74" spans="1:7">
      <c r="A74" s="167"/>
      <c r="B74" s="164"/>
      <c r="C74" s="164"/>
      <c r="D74" s="164"/>
      <c r="E74" s="162" t="s">
        <v>507</v>
      </c>
      <c r="F74" s="163">
        <v>41.34</v>
      </c>
      <c r="G74" s="162" t="s">
        <v>542</v>
      </c>
    </row>
    <row r="75" spans="1:7">
      <c r="A75" s="167"/>
      <c r="B75" s="164"/>
      <c r="C75" s="164"/>
      <c r="D75" s="164"/>
      <c r="E75" s="162" t="s">
        <v>508</v>
      </c>
      <c r="F75" s="163">
        <v>32.72</v>
      </c>
      <c r="G75" s="162" t="s">
        <v>543</v>
      </c>
    </row>
    <row r="76" spans="1:7">
      <c r="A76" s="165"/>
      <c r="B76" s="164"/>
      <c r="C76" s="164"/>
      <c r="D76" s="164"/>
      <c r="E76" s="162" t="s">
        <v>413</v>
      </c>
      <c r="F76" s="163">
        <v>83.11</v>
      </c>
      <c r="G76" s="162" t="s">
        <v>338</v>
      </c>
    </row>
    <row r="77" spans="1:7">
      <c r="A77" s="164"/>
      <c r="B77" s="164"/>
      <c r="C77" s="164"/>
      <c r="D77" s="164"/>
      <c r="E77" s="162" t="s">
        <v>412</v>
      </c>
      <c r="F77" s="163">
        <v>86.63</v>
      </c>
      <c r="G77" s="162" t="s">
        <v>411</v>
      </c>
    </row>
    <row r="78" spans="1:7">
      <c r="A78" s="166"/>
      <c r="B78" s="164"/>
      <c r="C78" s="164"/>
      <c r="D78" s="164"/>
      <c r="E78" s="162" t="s">
        <v>410</v>
      </c>
      <c r="F78" s="163">
        <v>73.11</v>
      </c>
      <c r="G78" s="162" t="s">
        <v>338</v>
      </c>
    </row>
    <row r="79" spans="1:7">
      <c r="A79" s="165"/>
      <c r="B79" s="164"/>
      <c r="C79" s="164"/>
      <c r="D79" s="164"/>
      <c r="E79" s="162" t="s">
        <v>509</v>
      </c>
      <c r="F79" s="163">
        <v>54.61</v>
      </c>
      <c r="G79" s="162" t="s">
        <v>534</v>
      </c>
    </row>
    <row r="80" spans="1:7">
      <c r="A80" s="164"/>
      <c r="B80" s="164"/>
      <c r="C80" s="164"/>
      <c r="D80" s="164"/>
      <c r="E80" s="162" t="s">
        <v>409</v>
      </c>
      <c r="F80" s="163">
        <v>53.16</v>
      </c>
      <c r="G80" s="162" t="s">
        <v>408</v>
      </c>
    </row>
    <row r="81" spans="1:7">
      <c r="A81" s="164"/>
      <c r="B81" s="164"/>
      <c r="C81" s="164"/>
      <c r="D81" s="164"/>
      <c r="E81" s="162" t="s">
        <v>407</v>
      </c>
      <c r="F81" s="163">
        <v>87.77</v>
      </c>
      <c r="G81" s="162" t="s">
        <v>406</v>
      </c>
    </row>
    <row r="82" spans="1:7">
      <c r="A82" s="164"/>
      <c r="B82" s="164"/>
      <c r="C82" s="164"/>
      <c r="D82" s="164"/>
      <c r="E82" s="162" t="s">
        <v>405</v>
      </c>
      <c r="F82" s="163">
        <v>52.17</v>
      </c>
      <c r="G82" s="162" t="s">
        <v>404</v>
      </c>
    </row>
    <row r="83" spans="1:7">
      <c r="A83" s="164"/>
      <c r="B83" s="164"/>
      <c r="C83" s="164"/>
      <c r="D83" s="164"/>
      <c r="E83" s="162" t="s">
        <v>403</v>
      </c>
      <c r="F83" s="163">
        <v>29.76</v>
      </c>
      <c r="G83" s="162" t="s">
        <v>402</v>
      </c>
    </row>
    <row r="84" spans="1:7">
      <c r="A84" s="164"/>
      <c r="B84" s="164"/>
      <c r="C84" s="164"/>
      <c r="D84" s="164"/>
      <c r="E84" s="162" t="s">
        <v>401</v>
      </c>
      <c r="F84" s="163">
        <v>36.299999999999997</v>
      </c>
      <c r="G84" s="162" t="s">
        <v>400</v>
      </c>
    </row>
    <row r="85" spans="1:7">
      <c r="A85" s="164"/>
      <c r="B85" s="164"/>
      <c r="C85" s="164"/>
      <c r="D85" s="164"/>
      <c r="E85" s="162" t="s">
        <v>510</v>
      </c>
      <c r="F85" s="163">
        <v>29.4</v>
      </c>
      <c r="G85" s="162" t="s">
        <v>338</v>
      </c>
    </row>
    <row r="86" spans="1:7">
      <c r="A86" s="164"/>
      <c r="B86" s="164"/>
      <c r="C86" s="164"/>
      <c r="D86" s="164"/>
      <c r="E86" s="162" t="s">
        <v>399</v>
      </c>
      <c r="F86" s="163">
        <v>49.4</v>
      </c>
      <c r="G86" s="162" t="s">
        <v>398</v>
      </c>
    </row>
    <row r="87" spans="1:7">
      <c r="A87" s="164"/>
      <c r="B87" s="164"/>
      <c r="C87" s="164"/>
      <c r="D87" s="164"/>
      <c r="E87" s="162" t="s">
        <v>511</v>
      </c>
      <c r="F87" s="163">
        <v>22.98</v>
      </c>
      <c r="G87" s="162" t="s">
        <v>544</v>
      </c>
    </row>
    <row r="88" spans="1:7">
      <c r="A88" s="164"/>
      <c r="B88" s="164"/>
      <c r="C88" s="164"/>
      <c r="D88" s="164"/>
      <c r="E88" s="162" t="s">
        <v>397</v>
      </c>
      <c r="F88" s="163">
        <v>52.87</v>
      </c>
      <c r="G88" s="162" t="s">
        <v>338</v>
      </c>
    </row>
    <row r="89" spans="1:7">
      <c r="A89" s="164"/>
      <c r="B89" s="164"/>
      <c r="C89" s="164"/>
      <c r="D89" s="164"/>
      <c r="E89" s="162" t="s">
        <v>396</v>
      </c>
      <c r="F89" s="163">
        <v>75.88</v>
      </c>
      <c r="G89" s="162" t="s">
        <v>395</v>
      </c>
    </row>
    <row r="90" spans="1:7">
      <c r="A90" s="164"/>
      <c r="B90" s="164"/>
      <c r="C90" s="164"/>
      <c r="D90" s="164"/>
      <c r="E90" s="162" t="s">
        <v>512</v>
      </c>
      <c r="F90" s="163">
        <v>22.32</v>
      </c>
      <c r="G90" s="162" t="s">
        <v>545</v>
      </c>
    </row>
    <row r="91" spans="1:7">
      <c r="A91" s="164"/>
      <c r="B91" s="164"/>
      <c r="C91" s="164"/>
      <c r="D91" s="164"/>
      <c r="E91" s="162" t="s">
        <v>394</v>
      </c>
      <c r="F91" s="163">
        <v>47.66</v>
      </c>
      <c r="G91" s="162" t="s">
        <v>338</v>
      </c>
    </row>
    <row r="92" spans="1:7">
      <c r="A92" s="164"/>
      <c r="B92" s="164"/>
      <c r="C92" s="164"/>
      <c r="D92" s="164"/>
      <c r="E92" s="162" t="s">
        <v>393</v>
      </c>
      <c r="F92" s="163">
        <v>88.28</v>
      </c>
      <c r="G92" s="162" t="s">
        <v>338</v>
      </c>
    </row>
    <row r="93" spans="1:7">
      <c r="A93" s="164"/>
      <c r="B93" s="164"/>
      <c r="C93" s="164"/>
      <c r="D93" s="164"/>
      <c r="E93" s="162" t="s">
        <v>513</v>
      </c>
      <c r="F93" s="163">
        <v>69.599999999999994</v>
      </c>
      <c r="G93" s="162" t="s">
        <v>546</v>
      </c>
    </row>
    <row r="94" spans="1:7">
      <c r="A94" s="164"/>
      <c r="B94" s="164"/>
      <c r="C94" s="164"/>
      <c r="D94" s="164"/>
      <c r="E94" s="162" t="s">
        <v>392</v>
      </c>
      <c r="F94" s="163">
        <v>39.51</v>
      </c>
      <c r="G94" s="162" t="s">
        <v>391</v>
      </c>
    </row>
    <row r="95" spans="1:7">
      <c r="A95" s="164"/>
      <c r="B95" s="164"/>
      <c r="C95" s="164"/>
      <c r="D95" s="164"/>
      <c r="E95" s="162" t="s">
        <v>390</v>
      </c>
      <c r="F95" s="163">
        <v>73.61</v>
      </c>
      <c r="G95" s="162" t="s">
        <v>338</v>
      </c>
    </row>
    <row r="96" spans="1:7">
      <c r="A96" s="164"/>
      <c r="B96" s="164"/>
      <c r="C96" s="164"/>
      <c r="D96" s="164"/>
      <c r="E96" s="162" t="s">
        <v>389</v>
      </c>
      <c r="F96" s="163">
        <v>52.57</v>
      </c>
      <c r="G96" s="162" t="s">
        <v>388</v>
      </c>
    </row>
    <row r="97" spans="1:7">
      <c r="A97" s="164"/>
      <c r="B97" s="164"/>
      <c r="C97" s="164"/>
      <c r="D97" s="164"/>
      <c r="E97" s="162" t="s">
        <v>387</v>
      </c>
      <c r="F97" s="163">
        <v>35.049999999999997</v>
      </c>
      <c r="G97" s="162" t="s">
        <v>386</v>
      </c>
    </row>
    <row r="98" spans="1:7">
      <c r="A98" s="164"/>
      <c r="B98" s="164"/>
      <c r="C98" s="164"/>
      <c r="D98" s="164"/>
      <c r="E98" s="162" t="s">
        <v>385</v>
      </c>
      <c r="F98" s="163">
        <v>32.68</v>
      </c>
      <c r="G98" s="162" t="s">
        <v>384</v>
      </c>
    </row>
    <row r="99" spans="1:7">
      <c r="A99" s="164"/>
      <c r="B99" s="164"/>
      <c r="C99" s="164"/>
      <c r="D99" s="164"/>
      <c r="E99" s="162" t="s">
        <v>514</v>
      </c>
      <c r="F99" s="163">
        <v>33.17</v>
      </c>
      <c r="G99" s="162" t="s">
        <v>548</v>
      </c>
    </row>
    <row r="100" spans="1:7">
      <c r="A100" s="164"/>
      <c r="B100" s="164"/>
      <c r="C100" s="164"/>
      <c r="D100" s="164"/>
      <c r="E100" s="162" t="s">
        <v>383</v>
      </c>
      <c r="F100" s="163">
        <v>41.43</v>
      </c>
      <c r="G100" s="162" t="s">
        <v>338</v>
      </c>
    </row>
    <row r="101" spans="1:7">
      <c r="A101" s="164"/>
      <c r="B101" s="164"/>
      <c r="C101" s="164"/>
      <c r="D101" s="164"/>
      <c r="E101" s="162" t="s">
        <v>382</v>
      </c>
      <c r="F101" s="163">
        <v>36.85</v>
      </c>
      <c r="G101" s="162" t="s">
        <v>381</v>
      </c>
    </row>
    <row r="102" spans="1:7">
      <c r="A102" s="164"/>
      <c r="B102" s="164"/>
      <c r="C102" s="164"/>
      <c r="D102" s="164"/>
      <c r="E102" s="162" t="s">
        <v>515</v>
      </c>
      <c r="F102" s="163">
        <v>35.89</v>
      </c>
      <c r="G102" s="162" t="s">
        <v>549</v>
      </c>
    </row>
    <row r="103" spans="1:7">
      <c r="A103" s="164"/>
      <c r="B103" s="164"/>
      <c r="C103" s="164"/>
      <c r="D103" s="164"/>
      <c r="E103" s="162" t="s">
        <v>516</v>
      </c>
      <c r="F103" s="163">
        <v>38.06</v>
      </c>
      <c r="G103" s="162" t="s">
        <v>550</v>
      </c>
    </row>
    <row r="104" spans="1:7">
      <c r="A104" s="164"/>
      <c r="B104" s="164"/>
      <c r="C104" s="164"/>
      <c r="D104" s="164"/>
      <c r="E104" s="162" t="s">
        <v>517</v>
      </c>
      <c r="F104" s="163">
        <v>41.02</v>
      </c>
      <c r="G104" s="162" t="s">
        <v>551</v>
      </c>
    </row>
    <row r="105" spans="1:7">
      <c r="E105" s="162" t="s">
        <v>380</v>
      </c>
      <c r="F105" s="163">
        <v>28.86</v>
      </c>
      <c r="G105" s="162" t="s">
        <v>379</v>
      </c>
    </row>
    <row r="106" spans="1:7">
      <c r="E106" s="162" t="s">
        <v>378</v>
      </c>
      <c r="F106" s="163">
        <v>78.64</v>
      </c>
      <c r="G106" s="162" t="s">
        <v>338</v>
      </c>
    </row>
    <row r="107" spans="1:7">
      <c r="E107" s="162" t="s">
        <v>377</v>
      </c>
      <c r="F107" s="163">
        <v>79.14</v>
      </c>
      <c r="G107" s="162" t="s">
        <v>376</v>
      </c>
    </row>
    <row r="108" spans="1:7">
      <c r="E108" s="162" t="s">
        <v>518</v>
      </c>
      <c r="F108" s="163">
        <v>42.77</v>
      </c>
      <c r="G108" s="162" t="s">
        <v>552</v>
      </c>
    </row>
    <row r="109" spans="1:7">
      <c r="E109" s="162" t="s">
        <v>375</v>
      </c>
      <c r="F109" s="163">
        <v>29.74</v>
      </c>
      <c r="G109" s="162" t="s">
        <v>374</v>
      </c>
    </row>
    <row r="110" spans="1:7">
      <c r="E110" s="162" t="s">
        <v>519</v>
      </c>
      <c r="F110" s="163">
        <v>34.15</v>
      </c>
      <c r="G110" s="162" t="s">
        <v>547</v>
      </c>
    </row>
    <row r="111" spans="1:7">
      <c r="E111" s="162" t="s">
        <v>373</v>
      </c>
      <c r="F111" s="163">
        <v>106.09</v>
      </c>
      <c r="G111" s="162" t="s">
        <v>372</v>
      </c>
    </row>
    <row r="112" spans="1:7">
      <c r="E112" s="162" t="s">
        <v>371</v>
      </c>
      <c r="F112" s="163">
        <v>50.18</v>
      </c>
      <c r="G112" s="162" t="s">
        <v>370</v>
      </c>
    </row>
    <row r="113" spans="5:7">
      <c r="E113" s="162" t="s">
        <v>369</v>
      </c>
      <c r="F113" s="163">
        <v>21.59</v>
      </c>
      <c r="G113" s="162" t="s">
        <v>368</v>
      </c>
    </row>
    <row r="114" spans="5:7">
      <c r="E114" s="162" t="s">
        <v>520</v>
      </c>
      <c r="F114" s="163">
        <v>55.88</v>
      </c>
      <c r="G114" s="162"/>
    </row>
    <row r="115" spans="5:7">
      <c r="E115" s="162" t="s">
        <v>367</v>
      </c>
      <c r="F115" s="163">
        <v>54.07</v>
      </c>
      <c r="G115" s="162" t="s">
        <v>366</v>
      </c>
    </row>
    <row r="116" spans="5:7">
      <c r="E116" s="162" t="s">
        <v>521</v>
      </c>
      <c r="F116" s="163">
        <v>30.72</v>
      </c>
      <c r="G116" s="162" t="s">
        <v>553</v>
      </c>
    </row>
    <row r="117" spans="5:7">
      <c r="E117" s="162" t="s">
        <v>365</v>
      </c>
      <c r="F117" s="163">
        <v>36.26</v>
      </c>
      <c r="G117" s="162" t="s">
        <v>364</v>
      </c>
    </row>
    <row r="118" spans="5:7">
      <c r="E118" s="162" t="s">
        <v>363</v>
      </c>
      <c r="F118" s="163">
        <v>40.65</v>
      </c>
      <c r="G118" s="162" t="s">
        <v>362</v>
      </c>
    </row>
    <row r="119" spans="5:7">
      <c r="E119" s="162" t="s">
        <v>361</v>
      </c>
      <c r="F119" s="163">
        <v>42.04</v>
      </c>
      <c r="G119" s="162" t="s">
        <v>360</v>
      </c>
    </row>
    <row r="120" spans="5:7">
      <c r="E120" s="162" t="s">
        <v>359</v>
      </c>
      <c r="F120" s="163">
        <v>52.88</v>
      </c>
      <c r="G120" s="162" t="s">
        <v>338</v>
      </c>
    </row>
    <row r="121" spans="5:7">
      <c r="E121" s="162" t="s">
        <v>358</v>
      </c>
      <c r="F121" s="163">
        <v>69.510000000000005</v>
      </c>
      <c r="G121" s="162" t="s">
        <v>312</v>
      </c>
    </row>
    <row r="122" spans="5:7">
      <c r="E122" s="162" t="s">
        <v>357</v>
      </c>
      <c r="F122" s="163">
        <v>64.23</v>
      </c>
      <c r="G122" s="162" t="s">
        <v>356</v>
      </c>
    </row>
    <row r="123" spans="5:7">
      <c r="E123" s="162" t="s">
        <v>355</v>
      </c>
      <c r="F123" s="163">
        <v>38.5</v>
      </c>
      <c r="G123" s="162" t="s">
        <v>354</v>
      </c>
    </row>
    <row r="124" spans="5:7">
      <c r="E124" s="162" t="s">
        <v>353</v>
      </c>
      <c r="F124" s="163">
        <v>33.17</v>
      </c>
      <c r="G124" s="162" t="s">
        <v>352</v>
      </c>
    </row>
    <row r="125" spans="5:7">
      <c r="E125" s="162" t="s">
        <v>522</v>
      </c>
      <c r="F125" s="105">
        <v>34.07</v>
      </c>
      <c r="G125" s="162" t="s">
        <v>554</v>
      </c>
    </row>
    <row r="126" spans="5:7">
      <c r="E126" s="162" t="s">
        <v>351</v>
      </c>
      <c r="F126" s="105">
        <v>49.95</v>
      </c>
      <c r="G126" s="162" t="s">
        <v>350</v>
      </c>
    </row>
    <row r="127" spans="5:7">
      <c r="E127" s="162" t="s">
        <v>349</v>
      </c>
      <c r="F127" s="105">
        <v>39.19</v>
      </c>
      <c r="G127" s="162" t="s">
        <v>348</v>
      </c>
    </row>
    <row r="128" spans="5:7">
      <c r="E128" s="162" t="s">
        <v>523</v>
      </c>
      <c r="F128" s="105">
        <v>78.92</v>
      </c>
      <c r="G128" s="162" t="s">
        <v>555</v>
      </c>
    </row>
    <row r="129" spans="5:7">
      <c r="E129" s="162" t="s">
        <v>347</v>
      </c>
      <c r="F129" s="105">
        <v>85.59</v>
      </c>
      <c r="G129" s="162" t="s">
        <v>346</v>
      </c>
    </row>
    <row r="130" spans="5:7">
      <c r="E130" s="162" t="s">
        <v>345</v>
      </c>
      <c r="F130" s="105">
        <v>49.08</v>
      </c>
      <c r="G130" s="162" t="s">
        <v>338</v>
      </c>
    </row>
    <row r="131" spans="5:7">
      <c r="E131" s="162" t="s">
        <v>344</v>
      </c>
      <c r="F131" s="105">
        <v>59.38</v>
      </c>
      <c r="G131" s="162" t="s">
        <v>338</v>
      </c>
    </row>
    <row r="132" spans="5:7">
      <c r="E132" s="162" t="s">
        <v>524</v>
      </c>
      <c r="F132" s="105">
        <v>37.42</v>
      </c>
      <c r="G132" s="162" t="s">
        <v>556</v>
      </c>
    </row>
    <row r="133" spans="5:7">
      <c r="E133" s="162" t="s">
        <v>343</v>
      </c>
      <c r="F133" s="105">
        <v>41.69</v>
      </c>
      <c r="G133" s="162" t="s">
        <v>342</v>
      </c>
    </row>
    <row r="134" spans="5:7">
      <c r="E134" s="162" t="s">
        <v>341</v>
      </c>
      <c r="F134" s="105">
        <v>81.2</v>
      </c>
      <c r="G134" s="162" t="s">
        <v>340</v>
      </c>
    </row>
    <row r="135" spans="5:7">
      <c r="E135" s="162" t="s">
        <v>339</v>
      </c>
      <c r="F135" s="105">
        <v>59.09</v>
      </c>
      <c r="G135" s="162" t="s">
        <v>338</v>
      </c>
    </row>
    <row r="136" spans="5:7">
      <c r="E136" s="162" t="s">
        <v>337</v>
      </c>
      <c r="F136" s="105">
        <v>31.28</v>
      </c>
      <c r="G136" s="162" t="s">
        <v>336</v>
      </c>
    </row>
    <row r="137" spans="5:7">
      <c r="E137" s="162" t="s">
        <v>525</v>
      </c>
      <c r="F137" s="105">
        <v>51.86</v>
      </c>
      <c r="G137" s="162" t="s">
        <v>557</v>
      </c>
    </row>
    <row r="138" spans="5:7">
      <c r="E138" s="162" t="s">
        <v>335</v>
      </c>
      <c r="F138" s="105">
        <v>79.17</v>
      </c>
      <c r="G138" s="162" t="s">
        <v>334</v>
      </c>
    </row>
    <row r="139" spans="5:7">
      <c r="E139" s="162" t="s">
        <v>333</v>
      </c>
      <c r="F139" s="105">
        <v>131.75</v>
      </c>
      <c r="G139" s="162" t="s">
        <v>332</v>
      </c>
    </row>
    <row r="140" spans="5:7">
      <c r="E140" s="162" t="s">
        <v>526</v>
      </c>
      <c r="F140" s="105">
        <v>29.03</v>
      </c>
      <c r="G140" s="162" t="s">
        <v>558</v>
      </c>
    </row>
    <row r="141" spans="5:7">
      <c r="E141" s="162" t="s">
        <v>331</v>
      </c>
      <c r="F141" s="105">
        <v>65.25</v>
      </c>
      <c r="G141" s="162" t="s">
        <v>330</v>
      </c>
    </row>
    <row r="142" spans="5:7">
      <c r="E142" s="162" t="s">
        <v>329</v>
      </c>
      <c r="F142" s="105">
        <v>34.6</v>
      </c>
      <c r="G142" s="162" t="s">
        <v>328</v>
      </c>
    </row>
    <row r="143" spans="5:7">
      <c r="E143" s="162" t="s">
        <v>327</v>
      </c>
      <c r="F143" s="105">
        <v>49.32</v>
      </c>
      <c r="G143" s="162" t="s">
        <v>326</v>
      </c>
    </row>
    <row r="144" spans="5:7">
      <c r="E144" s="162" t="s">
        <v>527</v>
      </c>
      <c r="F144" s="105">
        <v>55.48</v>
      </c>
      <c r="G144" s="162" t="s">
        <v>559</v>
      </c>
    </row>
    <row r="145" spans="5:7">
      <c r="E145" s="162" t="s">
        <v>325</v>
      </c>
      <c r="F145" s="105">
        <v>29.5</v>
      </c>
      <c r="G145" s="162" t="s">
        <v>324</v>
      </c>
    </row>
    <row r="146" spans="5:7">
      <c r="E146" s="162" t="s">
        <v>323</v>
      </c>
      <c r="F146" s="105">
        <v>31.48</v>
      </c>
      <c r="G146" s="162" t="s">
        <v>322</v>
      </c>
    </row>
    <row r="147" spans="5:7">
      <c r="E147" s="162" t="s">
        <v>321</v>
      </c>
      <c r="F147" s="105">
        <v>32.18</v>
      </c>
      <c r="G147" s="162" t="s">
        <v>320</v>
      </c>
    </row>
    <row r="148" spans="5:7">
      <c r="E148" s="162" t="s">
        <v>319</v>
      </c>
      <c r="F148" s="105">
        <v>29.21</v>
      </c>
      <c r="G148" s="162" t="s">
        <v>318</v>
      </c>
    </row>
    <row r="149" spans="5:7">
      <c r="E149" s="162" t="s">
        <v>317</v>
      </c>
      <c r="F149" s="105">
        <v>61.67</v>
      </c>
      <c r="G149" s="162" t="s">
        <v>316</v>
      </c>
    </row>
    <row r="150" spans="5:7">
      <c r="E150" s="162" t="s">
        <v>315</v>
      </c>
      <c r="F150" s="105">
        <v>71.03</v>
      </c>
      <c r="G150" s="162" t="s">
        <v>314</v>
      </c>
    </row>
    <row r="151" spans="5:7">
      <c r="E151" s="162" t="s">
        <v>313</v>
      </c>
      <c r="F151" s="105">
        <v>71.92</v>
      </c>
      <c r="G151" s="162" t="s">
        <v>312</v>
      </c>
    </row>
    <row r="152" spans="5:7">
      <c r="E152" s="162" t="s">
        <v>311</v>
      </c>
      <c r="F152" s="105">
        <v>51.09</v>
      </c>
      <c r="G152" s="162" t="s">
        <v>310</v>
      </c>
    </row>
    <row r="153" spans="5:7">
      <c r="E153" s="162" t="s">
        <v>528</v>
      </c>
      <c r="F153" s="105">
        <v>27.12</v>
      </c>
      <c r="G153" s="162" t="s">
        <v>560</v>
      </c>
    </row>
    <row r="154" spans="5:7">
      <c r="E154" s="162" t="s">
        <v>309</v>
      </c>
      <c r="F154" s="105">
        <v>38.049999999999997</v>
      </c>
      <c r="G154" s="162" t="s">
        <v>308</v>
      </c>
    </row>
    <row r="155" spans="5:7">
      <c r="E155" s="162" t="s">
        <v>529</v>
      </c>
      <c r="F155" s="105">
        <v>51.46</v>
      </c>
      <c r="G155" s="162" t="s">
        <v>561</v>
      </c>
    </row>
    <row r="156" spans="5:7">
      <c r="E156" s="162" t="s">
        <v>530</v>
      </c>
      <c r="F156" s="105">
        <v>28.06</v>
      </c>
      <c r="G156" s="162" t="s">
        <v>562</v>
      </c>
    </row>
    <row r="157" spans="5:7">
      <c r="E157" s="162" t="s">
        <v>307</v>
      </c>
      <c r="F157" s="105">
        <v>51.52</v>
      </c>
      <c r="G157" s="162" t="s">
        <v>563</v>
      </c>
    </row>
  </sheetData>
  <sheetProtection algorithmName="SHA-512" hashValue="KVLZRJppjacHH/dssvKGMh/pGUcHt6j7iPmu1ZQ0FR1GwmzWFpC8s7k4HbTEpxMfVggqdwRpbCybLru8pgAhiA==" saltValue="tVfS+z78NMwymTqBSDSrQg==" spinCount="100000" sheet="1" objects="1" scenarios="1"/>
  <mergeCells count="1">
    <mergeCell ref="E3:G3"/>
  </mergeCells>
  <phoneticPr fontId="95" type="noConversion"/>
  <printOptions gridLines="1" gridLinesSet="0"/>
  <pageMargins left="0.75" right="0.75" top="1" bottom="1" header="0.51181102300000003" footer="0.51181102300000003"/>
  <pageSetup paperSize="9"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B35F8-02F0-44E0-8236-A2F14C514AFB}">
  <sheetPr codeName="Sheet7"/>
  <dimension ref="A1:F17"/>
  <sheetViews>
    <sheetView topLeftCell="A6" workbookViewId="0">
      <selection activeCell="C19" sqref="C19"/>
    </sheetView>
  </sheetViews>
  <sheetFormatPr defaultRowHeight="15"/>
  <cols>
    <col min="1" max="1" width="28" customWidth="1"/>
    <col min="2" max="2" width="18.28515625" customWidth="1"/>
    <col min="3" max="3" width="54.85546875" customWidth="1"/>
  </cols>
  <sheetData>
    <row r="1" spans="1:6" ht="36">
      <c r="A1" s="869" t="s">
        <v>836</v>
      </c>
      <c r="B1" s="869"/>
      <c r="C1" s="869"/>
    </row>
    <row r="2" spans="1:6" ht="15" customHeight="1">
      <c r="A2" s="392" t="s">
        <v>837</v>
      </c>
      <c r="B2" s="392" t="s">
        <v>838</v>
      </c>
      <c r="C2" s="392" t="s">
        <v>839</v>
      </c>
      <c r="D2" s="408"/>
      <c r="E2" s="408"/>
      <c r="F2" s="408"/>
    </row>
    <row r="3" spans="1:6" ht="30">
      <c r="A3" s="389" t="s">
        <v>840</v>
      </c>
      <c r="B3" s="390">
        <v>44445</v>
      </c>
      <c r="C3" s="391" t="s">
        <v>842</v>
      </c>
      <c r="D3" s="408"/>
      <c r="E3" s="408"/>
      <c r="F3" s="408"/>
    </row>
    <row r="4" spans="1:6">
      <c r="A4" s="389" t="s">
        <v>841</v>
      </c>
      <c r="B4" s="390">
        <v>44353</v>
      </c>
      <c r="C4" s="389" t="s">
        <v>843</v>
      </c>
      <c r="D4" s="408"/>
      <c r="E4" s="408"/>
      <c r="F4" s="408"/>
    </row>
    <row r="5" spans="1:6">
      <c r="A5" s="389" t="s">
        <v>840</v>
      </c>
      <c r="B5" s="390">
        <v>44480</v>
      </c>
      <c r="C5" s="389" t="s">
        <v>844</v>
      </c>
      <c r="D5" s="408"/>
      <c r="E5" s="408"/>
      <c r="F5" s="408"/>
    </row>
    <row r="6" spans="1:6" ht="113.25">
      <c r="A6" s="389" t="s">
        <v>840</v>
      </c>
      <c r="B6" s="390">
        <v>44718</v>
      </c>
      <c r="C6" s="391" t="s">
        <v>889</v>
      </c>
      <c r="D6" s="408"/>
      <c r="E6" s="408"/>
      <c r="F6" s="408"/>
    </row>
    <row r="7" spans="1:6">
      <c r="A7" s="389" t="s">
        <v>890</v>
      </c>
      <c r="B7" s="390">
        <v>44729</v>
      </c>
      <c r="C7" s="389" t="s">
        <v>847</v>
      </c>
      <c r="D7" s="408"/>
      <c r="E7" s="408"/>
      <c r="F7" s="408"/>
    </row>
    <row r="8" spans="1:6" ht="38.25" customHeight="1">
      <c r="A8" s="389" t="s">
        <v>840</v>
      </c>
      <c r="B8" s="390">
        <v>44767</v>
      </c>
      <c r="C8" s="391" t="s">
        <v>915</v>
      </c>
      <c r="D8" s="408"/>
      <c r="E8" s="408"/>
      <c r="F8" s="408"/>
    </row>
    <row r="9" spans="1:6">
      <c r="A9" s="389" t="s">
        <v>840</v>
      </c>
      <c r="B9" s="390">
        <v>44881</v>
      </c>
      <c r="C9" s="389" t="s">
        <v>923</v>
      </c>
    </row>
    <row r="10" spans="1:6">
      <c r="A10" s="389" t="s">
        <v>935</v>
      </c>
      <c r="B10" s="390">
        <v>44601</v>
      </c>
      <c r="C10" s="389" t="s">
        <v>935</v>
      </c>
    </row>
    <row r="11" spans="1:6">
      <c r="A11" s="389" t="s">
        <v>833</v>
      </c>
      <c r="B11" s="390">
        <v>44601</v>
      </c>
      <c r="C11" s="389" t="s">
        <v>936</v>
      </c>
    </row>
    <row r="12" spans="1:6">
      <c r="A12" s="389"/>
      <c r="B12" s="389"/>
      <c r="C12" s="389"/>
    </row>
    <row r="13" spans="1:6">
      <c r="A13" s="389"/>
      <c r="B13" s="389"/>
      <c r="C13" s="389"/>
    </row>
    <row r="14" spans="1:6">
      <c r="A14" s="389"/>
      <c r="B14" s="389"/>
      <c r="C14" s="389"/>
    </row>
    <row r="15" spans="1:6">
      <c r="A15" s="389"/>
      <c r="B15" s="389"/>
      <c r="C15" s="389"/>
    </row>
    <row r="16" spans="1:6">
      <c r="A16" s="389"/>
      <c r="B16" s="389"/>
      <c r="C16" s="389"/>
    </row>
    <row r="17" spans="1:3">
      <c r="A17" s="389"/>
      <c r="B17" s="389"/>
      <c r="C17" s="389"/>
    </row>
  </sheetData>
  <sheetProtection algorithmName="SHA-512" hashValue="cCsmJao33LEP1PUrFaXv9OplyzmQhJ0E1+PPDLUzj5AAYD0SKZz78kO0KYGIv1UNotnT6avxTBHSyGAi0uXDkg==" saltValue="bo2v9kOP4jTXU3oPZDODFA==" spinCount="100000" sheet="1" objects="1" scenarios="1"/>
  <mergeCells count="1">
    <mergeCell ref="A1:C1"/>
  </mergeCells>
  <phoneticPr fontId="95" type="noConversion"/>
  <pageMargins left="0.7" right="0.7" top="0.75" bottom="0.75" header="0.3" footer="0.3"/>
  <pageSetup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058D0-FD60-4466-BAA6-5AB12784EE9A}">
  <sheetPr codeName="Sheet3"/>
  <dimension ref="A1:H168"/>
  <sheetViews>
    <sheetView workbookViewId="0">
      <selection activeCell="H34" sqref="H34"/>
    </sheetView>
  </sheetViews>
  <sheetFormatPr defaultRowHeight="15"/>
  <cols>
    <col min="1" max="1" width="20.85546875" bestFit="1" customWidth="1"/>
    <col min="2" max="2" width="28.7109375" bestFit="1" customWidth="1"/>
    <col min="3" max="3" width="16" bestFit="1" customWidth="1"/>
    <col min="4" max="4" width="15" bestFit="1" customWidth="1"/>
    <col min="8" max="8" width="32.85546875" customWidth="1"/>
  </cols>
  <sheetData>
    <row r="1" spans="1:8">
      <c r="A1" t="s">
        <v>565</v>
      </c>
      <c r="B1" t="s">
        <v>566</v>
      </c>
      <c r="C1" t="s">
        <v>567</v>
      </c>
      <c r="D1" t="s">
        <v>568</v>
      </c>
      <c r="G1" t="s">
        <v>788</v>
      </c>
      <c r="H1" t="e">
        <f>VLOOKUP(#REF!,'Live Currency Rates'!A:D,3,FALSE)</f>
        <v>#REF!</v>
      </c>
    </row>
    <row r="2" spans="1:8">
      <c r="A2" t="s">
        <v>312</v>
      </c>
      <c r="B2" t="s">
        <v>569</v>
      </c>
      <c r="C2">
        <v>0.77541398610000001</v>
      </c>
      <c r="D2">
        <v>1.2896336897</v>
      </c>
      <c r="G2" t="s">
        <v>789</v>
      </c>
      <c r="H2" t="e">
        <f>VLOOKUP(#REF!,'Live Currency Rates'!A:D,3,FALSE)</f>
        <v>#REF!</v>
      </c>
    </row>
    <row r="3" spans="1:8">
      <c r="A3" t="s">
        <v>338</v>
      </c>
      <c r="B3" t="s">
        <v>570</v>
      </c>
      <c r="C3">
        <v>0.64166821730000001</v>
      </c>
      <c r="D3">
        <v>1.5584377923999999</v>
      </c>
    </row>
    <row r="4" spans="1:8">
      <c r="A4" t="s">
        <v>314</v>
      </c>
      <c r="B4" t="s">
        <v>571</v>
      </c>
      <c r="C4">
        <v>0.55453509940000001</v>
      </c>
      <c r="D4">
        <v>1.8033123622</v>
      </c>
    </row>
    <row r="5" spans="1:8">
      <c r="A5" t="s">
        <v>416</v>
      </c>
      <c r="B5" t="s">
        <v>572</v>
      </c>
      <c r="C5">
        <v>56.847773984500002</v>
      </c>
      <c r="D5">
        <v>1.7590838300000002E-2</v>
      </c>
    </row>
    <row r="6" spans="1:8">
      <c r="A6" t="s">
        <v>481</v>
      </c>
      <c r="B6" t="s">
        <v>573</v>
      </c>
      <c r="C6">
        <v>1</v>
      </c>
      <c r="D6">
        <v>1</v>
      </c>
    </row>
    <row r="7" spans="1:8">
      <c r="A7" t="s">
        <v>458</v>
      </c>
      <c r="B7" t="s">
        <v>574</v>
      </c>
      <c r="C7">
        <v>0.98472024680000003</v>
      </c>
      <c r="D7">
        <v>1.0155168468</v>
      </c>
    </row>
    <row r="8" spans="1:8">
      <c r="A8" t="s">
        <v>346</v>
      </c>
      <c r="B8" t="s">
        <v>575</v>
      </c>
      <c r="C8">
        <v>1.0311922143000001</v>
      </c>
      <c r="D8">
        <v>0.96975130939999998</v>
      </c>
    </row>
    <row r="9" spans="1:8">
      <c r="A9" t="s">
        <v>332</v>
      </c>
      <c r="B9" t="s">
        <v>576</v>
      </c>
      <c r="C9">
        <v>0.70448864929999999</v>
      </c>
      <c r="D9">
        <v>1.4194692861</v>
      </c>
    </row>
    <row r="10" spans="1:8">
      <c r="A10" t="s">
        <v>391</v>
      </c>
      <c r="B10" t="s">
        <v>577</v>
      </c>
      <c r="C10">
        <v>3.1421810670000001</v>
      </c>
      <c r="D10">
        <v>0.31825027859999999</v>
      </c>
    </row>
    <row r="11" spans="1:8">
      <c r="A11" t="s">
        <v>406</v>
      </c>
      <c r="B11" t="s">
        <v>578</v>
      </c>
      <c r="C11">
        <v>82.617273582500005</v>
      </c>
      <c r="D11">
        <v>1.2104006299999999E-2</v>
      </c>
    </row>
    <row r="12" spans="1:8">
      <c r="A12" t="s">
        <v>455</v>
      </c>
      <c r="B12" t="s">
        <v>579</v>
      </c>
      <c r="C12">
        <v>5.0107230808000001</v>
      </c>
      <c r="D12">
        <v>0.1995719947</v>
      </c>
    </row>
    <row r="13" spans="1:8">
      <c r="A13" t="s">
        <v>376</v>
      </c>
      <c r="B13" t="s">
        <v>580</v>
      </c>
      <c r="C13">
        <v>1.0659741233</v>
      </c>
      <c r="D13">
        <v>0.93810907619999995</v>
      </c>
    </row>
    <row r="14" spans="1:8">
      <c r="A14" t="s">
        <v>326</v>
      </c>
      <c r="B14" t="s">
        <v>581</v>
      </c>
      <c r="C14">
        <v>23.499737259500002</v>
      </c>
      <c r="D14">
        <v>4.25536673E-2</v>
      </c>
    </row>
    <row r="15" spans="1:8">
      <c r="A15" t="s">
        <v>420</v>
      </c>
      <c r="B15" t="s">
        <v>582</v>
      </c>
      <c r="C15">
        <v>232.71474538039999</v>
      </c>
      <c r="D15">
        <v>4.2971062999999999E-3</v>
      </c>
    </row>
    <row r="16" spans="1:8">
      <c r="A16" t="s">
        <v>316</v>
      </c>
      <c r="B16" t="s">
        <v>583</v>
      </c>
      <c r="C16">
        <v>2.8477078641000002</v>
      </c>
      <c r="D16">
        <v>0.35115961600000001</v>
      </c>
    </row>
    <row r="17" spans="1:4">
      <c r="A17" t="s">
        <v>422</v>
      </c>
      <c r="B17" t="s">
        <v>584</v>
      </c>
      <c r="C17">
        <v>6.0148727771999999</v>
      </c>
      <c r="D17">
        <v>0.16625455550000001</v>
      </c>
    </row>
    <row r="18" spans="1:4">
      <c r="A18" t="s">
        <v>386</v>
      </c>
      <c r="B18" t="s">
        <v>585</v>
      </c>
      <c r="C18">
        <v>16.084675141400002</v>
      </c>
      <c r="D18">
        <v>6.2170979000000001E-2</v>
      </c>
    </row>
    <row r="19" spans="1:4">
      <c r="A19" t="s">
        <v>342</v>
      </c>
      <c r="B19" t="s">
        <v>586</v>
      </c>
      <c r="C19">
        <v>11.622434804199999</v>
      </c>
      <c r="D19">
        <v>8.6040491199999999E-2</v>
      </c>
    </row>
    <row r="20" spans="1:4">
      <c r="A20" t="s">
        <v>362</v>
      </c>
      <c r="B20" t="s">
        <v>587</v>
      </c>
      <c r="C20">
        <v>37.718543740800001</v>
      </c>
      <c r="D20">
        <v>2.65121582E-2</v>
      </c>
    </row>
    <row r="21" spans="1:4">
      <c r="A21" t="s">
        <v>334</v>
      </c>
      <c r="B21" t="s">
        <v>588</v>
      </c>
      <c r="C21">
        <v>6.5294554148000001</v>
      </c>
      <c r="D21">
        <v>0.1531521293</v>
      </c>
    </row>
    <row r="22" spans="1:4">
      <c r="A22" t="s">
        <v>414</v>
      </c>
      <c r="B22" t="s">
        <v>589</v>
      </c>
      <c r="C22">
        <v>11079.695740454499</v>
      </c>
      <c r="D22">
        <v>9.0255199999999996E-5</v>
      </c>
    </row>
    <row r="23" spans="1:4">
      <c r="A23" t="s">
        <v>350</v>
      </c>
      <c r="B23" t="s">
        <v>590</v>
      </c>
      <c r="C23">
        <v>2.9078024481</v>
      </c>
      <c r="D23">
        <v>0.34390231729999998</v>
      </c>
    </row>
    <row r="24" spans="1:4">
      <c r="A24" t="s">
        <v>464</v>
      </c>
      <c r="B24" t="s">
        <v>591</v>
      </c>
      <c r="C24">
        <v>4.3416178821000004</v>
      </c>
      <c r="D24">
        <v>0.23032888360000001</v>
      </c>
    </row>
    <row r="25" spans="1:4">
      <c r="A25" t="s">
        <v>322</v>
      </c>
      <c r="B25" t="s">
        <v>592</v>
      </c>
      <c r="C25">
        <v>5.7231238063000003</v>
      </c>
      <c r="D25">
        <v>0.17472975139999999</v>
      </c>
    </row>
    <row r="26" spans="1:4">
      <c r="A26" t="s">
        <v>400</v>
      </c>
      <c r="B26" t="s">
        <v>593</v>
      </c>
      <c r="C26">
        <v>85.136023515299996</v>
      </c>
      <c r="D26">
        <v>1.17459092E-2</v>
      </c>
    </row>
    <row r="27" spans="1:4">
      <c r="A27" t="s">
        <v>340</v>
      </c>
      <c r="B27" t="s">
        <v>594</v>
      </c>
      <c r="C27">
        <v>869.31232950909998</v>
      </c>
      <c r="D27">
        <v>1.1503345E-3</v>
      </c>
    </row>
    <row r="28" spans="1:4">
      <c r="A28" t="s">
        <v>439</v>
      </c>
      <c r="B28" t="s">
        <v>595</v>
      </c>
      <c r="C28">
        <v>12.174703170800001</v>
      </c>
      <c r="D28">
        <v>8.2137526099999997E-2</v>
      </c>
    </row>
    <row r="29" spans="1:4">
      <c r="A29" t="s">
        <v>543</v>
      </c>
      <c r="B29" t="s">
        <v>596</v>
      </c>
      <c r="C29">
        <v>1131.6557263371001</v>
      </c>
      <c r="D29">
        <v>8.83661E-4</v>
      </c>
    </row>
    <row r="30" spans="1:4">
      <c r="A30" t="s">
        <v>372</v>
      </c>
      <c r="B30" t="s">
        <v>597</v>
      </c>
      <c r="C30">
        <v>6.6780008266999999</v>
      </c>
      <c r="D30">
        <v>0.14974541420000001</v>
      </c>
    </row>
    <row r="31" spans="1:4">
      <c r="A31" t="s">
        <v>398</v>
      </c>
      <c r="B31" t="s">
        <v>598</v>
      </c>
      <c r="C31">
        <v>0.23468082239999999</v>
      </c>
      <c r="D31">
        <v>4.2611065947000002</v>
      </c>
    </row>
    <row r="32" spans="1:4">
      <c r="A32" t="s">
        <v>352</v>
      </c>
      <c r="B32" t="s">
        <v>599</v>
      </c>
      <c r="C32">
        <v>57.589603180899999</v>
      </c>
      <c r="D32">
        <v>1.7364245399999999E-2</v>
      </c>
    </row>
    <row r="33" spans="1:4">
      <c r="A33" t="s">
        <v>444</v>
      </c>
      <c r="B33" t="s">
        <v>600</v>
      </c>
      <c r="C33">
        <v>4.7714799599999997</v>
      </c>
      <c r="D33">
        <v>0.20957858109999999</v>
      </c>
    </row>
    <row r="34" spans="1:4">
      <c r="A34" t="s">
        <v>368</v>
      </c>
      <c r="B34" t="s">
        <v>601</v>
      </c>
      <c r="C34">
        <v>122.5733146756</v>
      </c>
      <c r="D34">
        <v>8.1583825999999998E-3</v>
      </c>
    </row>
    <row r="35" spans="1:4">
      <c r="A35" t="s">
        <v>411</v>
      </c>
      <c r="B35" t="s">
        <v>602</v>
      </c>
      <c r="C35">
        <v>2.5556430344000001</v>
      </c>
      <c r="D35">
        <v>0.39129095359999999</v>
      </c>
    </row>
    <row r="36" spans="1:4">
      <c r="A36" t="s">
        <v>360</v>
      </c>
      <c r="B36" t="s">
        <v>603</v>
      </c>
      <c r="C36">
        <v>2.8963495052999999</v>
      </c>
      <c r="D36">
        <v>0.34526219920000001</v>
      </c>
    </row>
    <row r="37" spans="1:4">
      <c r="A37" t="s">
        <v>356</v>
      </c>
      <c r="B37" t="s">
        <v>604</v>
      </c>
      <c r="C37">
        <v>2.8225069095999999</v>
      </c>
      <c r="D37">
        <v>0.35429496970000002</v>
      </c>
    </row>
    <row r="38" spans="1:4">
      <c r="A38" t="s">
        <v>605</v>
      </c>
      <c r="B38" t="s">
        <v>606</v>
      </c>
      <c r="C38">
        <v>4.4287100000000001E-4</v>
      </c>
      <c r="D38">
        <v>2257.9937117148002</v>
      </c>
    </row>
    <row r="39" spans="1:4">
      <c r="A39" t="s">
        <v>370</v>
      </c>
      <c r="B39" t="s">
        <v>607</v>
      </c>
      <c r="C39">
        <v>0.29814667769999997</v>
      </c>
      <c r="D39">
        <v>3.3540538093999999</v>
      </c>
    </row>
    <row r="40" spans="1:4">
      <c r="A40" t="s">
        <v>453</v>
      </c>
      <c r="B40" t="s">
        <v>608</v>
      </c>
      <c r="C40">
        <v>2828.2217231031</v>
      </c>
      <c r="D40">
        <v>3.535791E-4</v>
      </c>
    </row>
    <row r="41" spans="1:4">
      <c r="A41" t="s">
        <v>456</v>
      </c>
      <c r="B41" t="s">
        <v>609</v>
      </c>
      <c r="C41">
        <v>561.38514005720003</v>
      </c>
      <c r="D41">
        <v>1.7813083E-3</v>
      </c>
    </row>
    <row r="42" spans="1:4">
      <c r="A42" t="s">
        <v>330</v>
      </c>
      <c r="B42" t="s">
        <v>610</v>
      </c>
      <c r="C42">
        <v>21.575372830799999</v>
      </c>
      <c r="D42">
        <v>4.6349141099999998E-2</v>
      </c>
    </row>
    <row r="43" spans="1:4">
      <c r="A43" t="s">
        <v>484</v>
      </c>
      <c r="B43" t="s">
        <v>611</v>
      </c>
      <c r="C43">
        <v>69.639529960900006</v>
      </c>
      <c r="D43">
        <v>1.43596604E-2</v>
      </c>
    </row>
    <row r="44" spans="1:4">
      <c r="A44" t="s">
        <v>446</v>
      </c>
      <c r="B44" t="s">
        <v>612</v>
      </c>
      <c r="C44">
        <v>16.7882342252</v>
      </c>
      <c r="D44">
        <v>5.9565525899999999E-2</v>
      </c>
    </row>
    <row r="45" spans="1:4">
      <c r="A45" t="s">
        <v>308</v>
      </c>
      <c r="B45" t="s">
        <v>613</v>
      </c>
      <c r="C45">
        <v>17891.357142368299</v>
      </c>
      <c r="D45">
        <v>5.5892900000000001E-5</v>
      </c>
    </row>
    <row r="46" spans="1:4">
      <c r="A46" t="s">
        <v>381</v>
      </c>
      <c r="B46" t="s">
        <v>614</v>
      </c>
      <c r="C46">
        <v>6.9270739149000002</v>
      </c>
      <c r="D46">
        <v>0.14436109850000001</v>
      </c>
    </row>
    <row r="47" spans="1:4">
      <c r="A47" t="s">
        <v>404</v>
      </c>
      <c r="B47" t="s">
        <v>615</v>
      </c>
      <c r="C47">
        <v>0.5497685162</v>
      </c>
      <c r="D47">
        <v>1.8189473761999999</v>
      </c>
    </row>
    <row r="48" spans="1:4">
      <c r="A48" t="s">
        <v>474</v>
      </c>
      <c r="B48" t="s">
        <v>616</v>
      </c>
      <c r="C48">
        <v>0.29155565880000001</v>
      </c>
      <c r="D48">
        <v>3.4298768342999999</v>
      </c>
    </row>
    <row r="49" spans="1:4">
      <c r="A49" t="s">
        <v>534</v>
      </c>
      <c r="B49" t="s">
        <v>617</v>
      </c>
      <c r="C49">
        <v>420.90675877389998</v>
      </c>
      <c r="D49">
        <v>2.3758231E-3</v>
      </c>
    </row>
    <row r="50" spans="1:4">
      <c r="A50" t="s">
        <v>336</v>
      </c>
      <c r="B50" t="s">
        <v>618</v>
      </c>
      <c r="C50">
        <v>150.99114060709999</v>
      </c>
      <c r="D50">
        <v>6.6229050999999997E-3</v>
      </c>
    </row>
    <row r="51" spans="1:4">
      <c r="A51" t="s">
        <v>318</v>
      </c>
      <c r="B51" t="s">
        <v>619</v>
      </c>
      <c r="C51">
        <v>21.6893239911</v>
      </c>
      <c r="D51">
        <v>4.6105632399999999E-2</v>
      </c>
    </row>
    <row r="52" spans="1:4">
      <c r="A52" t="s">
        <v>374</v>
      </c>
      <c r="B52" t="s">
        <v>620</v>
      </c>
      <c r="C52">
        <v>295.5210524844</v>
      </c>
      <c r="D52">
        <v>3.3838536999999998E-3</v>
      </c>
    </row>
    <row r="53" spans="1:4">
      <c r="A53" t="s">
        <v>324</v>
      </c>
      <c r="B53" t="s">
        <v>621</v>
      </c>
      <c r="C53">
        <v>2.0957435421000001</v>
      </c>
      <c r="D53">
        <v>0.47715761969999998</v>
      </c>
    </row>
    <row r="54" spans="1:4">
      <c r="A54" t="s">
        <v>320</v>
      </c>
      <c r="B54" t="s">
        <v>622</v>
      </c>
      <c r="C54">
        <v>2841.0053547165999</v>
      </c>
      <c r="D54">
        <v>3.519881E-4</v>
      </c>
    </row>
    <row r="55" spans="1:4">
      <c r="A55" t="s">
        <v>354</v>
      </c>
      <c r="B55" t="s">
        <v>623</v>
      </c>
      <c r="C55">
        <v>3.1285808658000001</v>
      </c>
      <c r="D55">
        <v>0.31963373899999997</v>
      </c>
    </row>
    <row r="56" spans="1:4">
      <c r="A56" t="s">
        <v>472</v>
      </c>
      <c r="B56" t="s">
        <v>624</v>
      </c>
      <c r="C56">
        <v>65.6963266769</v>
      </c>
      <c r="D56">
        <v>1.5221551200000001E-2</v>
      </c>
    </row>
    <row r="57" spans="1:4">
      <c r="A57" t="s">
        <v>364</v>
      </c>
      <c r="B57" t="s">
        <v>625</v>
      </c>
      <c r="C57">
        <v>2.8295738331</v>
      </c>
      <c r="D57">
        <v>0.35341011010000001</v>
      </c>
    </row>
    <row r="58" spans="1:4">
      <c r="A58" t="s">
        <v>432</v>
      </c>
      <c r="B58" t="s">
        <v>626</v>
      </c>
      <c r="C58">
        <v>2.5781030763000001</v>
      </c>
      <c r="D58">
        <v>0.38788208629999998</v>
      </c>
    </row>
    <row r="59" spans="1:4">
      <c r="A59" t="s">
        <v>538</v>
      </c>
      <c r="B59" t="s">
        <v>627</v>
      </c>
      <c r="C59">
        <v>420.90675877389998</v>
      </c>
      <c r="D59">
        <v>2.3758231E-3</v>
      </c>
    </row>
    <row r="60" spans="1:4">
      <c r="A60" t="s">
        <v>541</v>
      </c>
      <c r="B60" t="s">
        <v>628</v>
      </c>
      <c r="C60">
        <v>1.5560975262000001</v>
      </c>
      <c r="D60">
        <v>0.64263324320000004</v>
      </c>
    </row>
    <row r="61" spans="1:4">
      <c r="A61" t="s">
        <v>629</v>
      </c>
      <c r="B61" t="s">
        <v>630</v>
      </c>
      <c r="C61">
        <v>7.7444471866000004</v>
      </c>
      <c r="D61">
        <v>0.12912477489999999</v>
      </c>
    </row>
    <row r="62" spans="1:4">
      <c r="A62" t="s">
        <v>631</v>
      </c>
      <c r="B62" t="s">
        <v>630</v>
      </c>
      <c r="C62">
        <v>1448350.1033351801</v>
      </c>
      <c r="D62">
        <v>6.9039999999999999E-7</v>
      </c>
    </row>
    <row r="63" spans="1:4">
      <c r="A63" t="s">
        <v>470</v>
      </c>
      <c r="B63" t="s">
        <v>632</v>
      </c>
      <c r="C63">
        <v>2.0160291183000001</v>
      </c>
      <c r="D63">
        <v>0.49602458160000001</v>
      </c>
    </row>
    <row r="64" spans="1:4">
      <c r="A64" t="s">
        <v>449</v>
      </c>
      <c r="B64" t="s">
        <v>633</v>
      </c>
      <c r="C64">
        <v>4.8685075049000002</v>
      </c>
      <c r="D64">
        <v>0.20540175790000001</v>
      </c>
    </row>
    <row r="65" spans="1:4">
      <c r="A65" t="s">
        <v>560</v>
      </c>
      <c r="B65" t="s">
        <v>634</v>
      </c>
      <c r="C65">
        <v>8165.7738502707998</v>
      </c>
      <c r="D65">
        <v>1.2246239999999999E-4</v>
      </c>
    </row>
    <row r="66" spans="1:4">
      <c r="A66" t="s">
        <v>462</v>
      </c>
      <c r="B66" t="s">
        <v>635</v>
      </c>
      <c r="C66">
        <v>1.2549939493</v>
      </c>
      <c r="D66">
        <v>0.79681659069999999</v>
      </c>
    </row>
    <row r="67" spans="1:4">
      <c r="A67" t="s">
        <v>486</v>
      </c>
      <c r="B67" t="s">
        <v>636</v>
      </c>
      <c r="C67">
        <v>103.0850300581</v>
      </c>
      <c r="D67">
        <v>9.7007295999999993E-3</v>
      </c>
    </row>
    <row r="68" spans="1:4">
      <c r="A68" t="s">
        <v>542</v>
      </c>
      <c r="B68" t="s">
        <v>637</v>
      </c>
      <c r="C68">
        <v>32587.054170350701</v>
      </c>
      <c r="D68">
        <v>3.0686999999999999E-5</v>
      </c>
    </row>
    <row r="69" spans="1:4">
      <c r="A69" t="s">
        <v>442</v>
      </c>
      <c r="B69" t="s">
        <v>638</v>
      </c>
      <c r="C69">
        <v>44.8905394035</v>
      </c>
      <c r="D69">
        <v>2.2276408599999999E-2</v>
      </c>
    </row>
    <row r="70" spans="1:4">
      <c r="A70" t="s">
        <v>418</v>
      </c>
      <c r="B70" t="s">
        <v>639</v>
      </c>
      <c r="C70">
        <v>98.633746890400005</v>
      </c>
      <c r="D70">
        <v>1.01385178E-2</v>
      </c>
    </row>
    <row r="71" spans="1:4">
      <c r="A71" t="s">
        <v>640</v>
      </c>
      <c r="B71" t="s">
        <v>641</v>
      </c>
      <c r="C71">
        <v>2.8853019000000001E-2</v>
      </c>
      <c r="D71">
        <v>34.658418195599999</v>
      </c>
    </row>
    <row r="72" spans="1:4">
      <c r="A72" t="s">
        <v>451</v>
      </c>
      <c r="B72" t="s">
        <v>642</v>
      </c>
      <c r="C72">
        <v>474.23438674699997</v>
      </c>
      <c r="D72">
        <v>2.1086618999999998E-3</v>
      </c>
    </row>
    <row r="73" spans="1:4">
      <c r="A73" t="s">
        <v>558</v>
      </c>
      <c r="B73" t="s">
        <v>643</v>
      </c>
      <c r="C73">
        <v>397.613463658</v>
      </c>
      <c r="D73">
        <v>2.5150054E-3</v>
      </c>
    </row>
    <row r="74" spans="1:4">
      <c r="A74" t="s">
        <v>545</v>
      </c>
      <c r="B74" t="s">
        <v>644</v>
      </c>
      <c r="C74">
        <v>3.4502007310999998</v>
      </c>
      <c r="D74">
        <v>0.2898382088</v>
      </c>
    </row>
    <row r="75" spans="1:4">
      <c r="A75" t="s">
        <v>408</v>
      </c>
      <c r="B75" t="s">
        <v>645</v>
      </c>
      <c r="C75">
        <v>117.2361150472</v>
      </c>
      <c r="D75">
        <v>8.5297948000000005E-3</v>
      </c>
    </row>
    <row r="76" spans="1:4">
      <c r="A76" t="s">
        <v>388</v>
      </c>
      <c r="B76" t="s">
        <v>646</v>
      </c>
      <c r="C76">
        <v>30.862395277499999</v>
      </c>
      <c r="D76">
        <v>3.2401892000000002E-2</v>
      </c>
    </row>
    <row r="77" spans="1:4">
      <c r="A77" t="s">
        <v>429</v>
      </c>
      <c r="B77" t="s">
        <v>647</v>
      </c>
      <c r="C77">
        <v>4.4600064608999999</v>
      </c>
      <c r="D77">
        <v>0.22421492179999999</v>
      </c>
    </row>
    <row r="78" spans="1:4">
      <c r="A78" t="s">
        <v>648</v>
      </c>
      <c r="B78" t="s">
        <v>649</v>
      </c>
      <c r="C78">
        <v>493.11691374129998</v>
      </c>
      <c r="D78">
        <v>2.0279167000000001E-3</v>
      </c>
    </row>
    <row r="79" spans="1:4">
      <c r="A79" t="s">
        <v>310</v>
      </c>
      <c r="B79" t="s">
        <v>650</v>
      </c>
      <c r="C79">
        <v>33.477742497800001</v>
      </c>
      <c r="D79">
        <v>2.98705924E-2</v>
      </c>
    </row>
    <row r="80" spans="1:4">
      <c r="A80" t="s">
        <v>531</v>
      </c>
      <c r="B80" t="s">
        <v>651</v>
      </c>
      <c r="C80">
        <v>59.965346683299998</v>
      </c>
      <c r="D80">
        <v>1.6676298199999998E-2</v>
      </c>
    </row>
    <row r="81" spans="1:4">
      <c r="A81" t="s">
        <v>395</v>
      </c>
      <c r="B81" t="s">
        <v>652</v>
      </c>
      <c r="C81">
        <v>1168.9365841168999</v>
      </c>
      <c r="D81">
        <v>8.5547840000000004E-4</v>
      </c>
    </row>
    <row r="82" spans="1:4">
      <c r="A82" t="s">
        <v>653</v>
      </c>
      <c r="B82" t="s">
        <v>654</v>
      </c>
      <c r="C82">
        <v>76.571386304800001</v>
      </c>
      <c r="D82">
        <v>1.30597087E-2</v>
      </c>
    </row>
    <row r="83" spans="1:4">
      <c r="A83" t="s">
        <v>559</v>
      </c>
      <c r="B83" t="s">
        <v>655</v>
      </c>
      <c r="C83">
        <v>5.2644727728999996</v>
      </c>
      <c r="D83">
        <v>0.18995254480000001</v>
      </c>
    </row>
    <row r="84" spans="1:4">
      <c r="A84" t="s">
        <v>328</v>
      </c>
      <c r="B84" t="s">
        <v>656</v>
      </c>
      <c r="C84">
        <v>1797.8621278753999</v>
      </c>
      <c r="D84">
        <v>5.5621619999999996E-4</v>
      </c>
    </row>
    <row r="85" spans="1:4">
      <c r="A85" t="s">
        <v>488</v>
      </c>
      <c r="B85" t="s">
        <v>657</v>
      </c>
      <c r="C85">
        <v>78.886506877499997</v>
      </c>
      <c r="D85">
        <v>1.2676439100000001E-2</v>
      </c>
    </row>
    <row r="86" spans="1:4">
      <c r="A86" t="s">
        <v>658</v>
      </c>
      <c r="B86" t="s">
        <v>659</v>
      </c>
      <c r="C86">
        <v>2.0953547110000001</v>
      </c>
      <c r="D86">
        <v>0.47724616489999999</v>
      </c>
    </row>
    <row r="87" spans="1:4">
      <c r="A87" t="s">
        <v>426</v>
      </c>
      <c r="B87" t="s">
        <v>660</v>
      </c>
      <c r="C87">
        <v>5.9690239628999997</v>
      </c>
      <c r="D87">
        <v>0.16753157739999999</v>
      </c>
    </row>
    <row r="88" spans="1:4">
      <c r="A88" t="s">
        <v>379</v>
      </c>
      <c r="B88" t="s">
        <v>661</v>
      </c>
      <c r="C88">
        <v>91.3827966801</v>
      </c>
      <c r="D88">
        <v>1.09429787E-2</v>
      </c>
    </row>
    <row r="89" spans="1:4">
      <c r="A89" t="s">
        <v>467</v>
      </c>
      <c r="B89" t="s">
        <v>662</v>
      </c>
      <c r="C89">
        <v>5.3475501242999997</v>
      </c>
      <c r="D89">
        <v>0.18700151970000001</v>
      </c>
    </row>
    <row r="90" spans="1:4">
      <c r="A90" t="s">
        <v>663</v>
      </c>
      <c r="B90" t="s">
        <v>664</v>
      </c>
      <c r="C90">
        <v>280.62232158670002</v>
      </c>
      <c r="D90">
        <v>3.5635084000000001E-3</v>
      </c>
    </row>
    <row r="91" spans="1:4">
      <c r="A91" t="s">
        <v>532</v>
      </c>
      <c r="B91" t="s">
        <v>665</v>
      </c>
      <c r="C91">
        <v>1.5508279723</v>
      </c>
      <c r="D91">
        <v>0.64481684480000001</v>
      </c>
    </row>
    <row r="92" spans="1:4">
      <c r="A92" t="s">
        <v>666</v>
      </c>
      <c r="B92" t="s">
        <v>667</v>
      </c>
      <c r="C92">
        <v>0.77541398610000001</v>
      </c>
      <c r="D92">
        <v>1.2896336897</v>
      </c>
    </row>
    <row r="93" spans="1:4">
      <c r="A93" t="s">
        <v>668</v>
      </c>
      <c r="B93" t="s">
        <v>669</v>
      </c>
      <c r="C93">
        <v>7254.9045397021</v>
      </c>
      <c r="D93">
        <v>1.378378E-4</v>
      </c>
    </row>
    <row r="94" spans="1:4">
      <c r="A94" t="s">
        <v>537</v>
      </c>
      <c r="B94" t="s">
        <v>670</v>
      </c>
      <c r="C94">
        <v>1.0311922143000001</v>
      </c>
      <c r="D94">
        <v>0.96975130939999998</v>
      </c>
    </row>
    <row r="95" spans="1:4">
      <c r="A95" t="s">
        <v>536</v>
      </c>
      <c r="B95" t="s">
        <v>671</v>
      </c>
      <c r="C95">
        <v>8.4211125667999998</v>
      </c>
      <c r="D95">
        <v>0.11874915480000001</v>
      </c>
    </row>
    <row r="96" spans="1:4">
      <c r="A96" t="s">
        <v>424</v>
      </c>
      <c r="B96" t="s">
        <v>672</v>
      </c>
      <c r="C96">
        <v>18.679678446600001</v>
      </c>
      <c r="D96">
        <v>5.3534112100000003E-2</v>
      </c>
    </row>
    <row r="97" spans="1:4">
      <c r="A97" t="s">
        <v>553</v>
      </c>
      <c r="B97" t="s">
        <v>673</v>
      </c>
      <c r="C97">
        <v>5126.3431014647003</v>
      </c>
      <c r="D97">
        <v>1.9507079999999999E-4</v>
      </c>
    </row>
    <row r="98" spans="1:4">
      <c r="A98" t="s">
        <v>540</v>
      </c>
      <c r="B98" t="s">
        <v>674</v>
      </c>
      <c r="C98">
        <v>31.239158225499999</v>
      </c>
      <c r="D98">
        <v>3.2011105800000002E-2</v>
      </c>
    </row>
    <row r="99" spans="1:4">
      <c r="A99" t="s">
        <v>551</v>
      </c>
      <c r="B99" t="s">
        <v>675</v>
      </c>
      <c r="C99">
        <v>11.622434804199999</v>
      </c>
      <c r="D99">
        <v>8.6040491199999999E-2</v>
      </c>
    </row>
    <row r="100" spans="1:4">
      <c r="A100" t="s">
        <v>676</v>
      </c>
      <c r="B100" t="s">
        <v>677</v>
      </c>
      <c r="C100">
        <v>2.7192565538000002</v>
      </c>
      <c r="D100">
        <v>0.3677475737</v>
      </c>
    </row>
    <row r="101" spans="1:4">
      <c r="A101" t="s">
        <v>678</v>
      </c>
      <c r="B101" t="s">
        <v>679</v>
      </c>
      <c r="C101">
        <v>290.8674694133</v>
      </c>
      <c r="D101">
        <v>3.4379918999999999E-3</v>
      </c>
    </row>
    <row r="102" spans="1:4">
      <c r="A102" t="s">
        <v>546</v>
      </c>
      <c r="B102" t="s">
        <v>680</v>
      </c>
      <c r="C102">
        <v>6.1953189604999999</v>
      </c>
      <c r="D102">
        <v>0.16141218979999999</v>
      </c>
    </row>
    <row r="103" spans="1:4">
      <c r="A103" t="s">
        <v>552</v>
      </c>
      <c r="B103" t="s">
        <v>681</v>
      </c>
      <c r="C103">
        <v>27.056596516999999</v>
      </c>
      <c r="D103">
        <v>3.6959563600000002E-2</v>
      </c>
    </row>
    <row r="104" spans="1:4">
      <c r="A104" t="s">
        <v>535</v>
      </c>
      <c r="B104" t="s">
        <v>682</v>
      </c>
      <c r="C104">
        <v>0.77541398610000001</v>
      </c>
      <c r="D104">
        <v>1.2896336897</v>
      </c>
    </row>
    <row r="105" spans="1:4">
      <c r="A105" t="s">
        <v>402</v>
      </c>
      <c r="B105" t="s">
        <v>683</v>
      </c>
      <c r="C105">
        <v>324.2763138267</v>
      </c>
      <c r="D105">
        <v>3.0837897999999998E-3</v>
      </c>
    </row>
    <row r="106" spans="1:4">
      <c r="A106" t="s">
        <v>366</v>
      </c>
      <c r="B106" t="s">
        <v>684</v>
      </c>
      <c r="C106">
        <v>0.77541398610000001</v>
      </c>
      <c r="D106">
        <v>1.2896336897</v>
      </c>
    </row>
    <row r="107" spans="1:4">
      <c r="A107" t="s">
        <v>466</v>
      </c>
      <c r="B107" t="s">
        <v>685</v>
      </c>
      <c r="C107">
        <v>1.2549939493</v>
      </c>
      <c r="D107">
        <v>0.79681659069999999</v>
      </c>
    </row>
    <row r="108" spans="1:4">
      <c r="A108" t="s">
        <v>686</v>
      </c>
      <c r="B108" t="s">
        <v>687</v>
      </c>
      <c r="C108">
        <v>161.86255428609999</v>
      </c>
      <c r="D108">
        <v>6.1780812000000003E-3</v>
      </c>
    </row>
    <row r="109" spans="1:4">
      <c r="A109" t="s">
        <v>561</v>
      </c>
      <c r="B109" t="s">
        <v>688</v>
      </c>
      <c r="C109">
        <v>194.10284969200001</v>
      </c>
      <c r="D109">
        <v>5.1519078999999997E-3</v>
      </c>
    </row>
    <row r="110" spans="1:4">
      <c r="A110" t="s">
        <v>689</v>
      </c>
      <c r="B110" t="s">
        <v>690</v>
      </c>
      <c r="C110">
        <v>2906.2998575257998</v>
      </c>
      <c r="D110">
        <v>3.4408010000000001E-4</v>
      </c>
    </row>
    <row r="111" spans="1:4">
      <c r="A111" t="s">
        <v>691</v>
      </c>
      <c r="B111" t="s">
        <v>692</v>
      </c>
      <c r="C111">
        <v>0.63584165550000005</v>
      </c>
      <c r="D111">
        <v>1.5727186026</v>
      </c>
    </row>
    <row r="112" spans="1:4">
      <c r="A112" t="s">
        <v>549</v>
      </c>
      <c r="B112" t="s">
        <v>693</v>
      </c>
      <c r="C112">
        <v>58.317782417899998</v>
      </c>
      <c r="D112">
        <v>1.7147428400000001E-2</v>
      </c>
    </row>
    <row r="113" spans="1:4">
      <c r="A113" t="s">
        <v>348</v>
      </c>
      <c r="B113" t="s">
        <v>694</v>
      </c>
      <c r="C113">
        <v>75.270852951999998</v>
      </c>
      <c r="D113">
        <v>1.3285355E-2</v>
      </c>
    </row>
    <row r="114" spans="1:4">
      <c r="A114" t="s">
        <v>555</v>
      </c>
      <c r="B114" t="s">
        <v>695</v>
      </c>
      <c r="C114">
        <v>16.360399187599999</v>
      </c>
      <c r="D114">
        <v>6.1123203000000001E-2</v>
      </c>
    </row>
    <row r="115" spans="1:4">
      <c r="A115" t="s">
        <v>482</v>
      </c>
      <c r="B115" t="s">
        <v>696</v>
      </c>
      <c r="C115">
        <v>402.4665600852</v>
      </c>
      <c r="D115">
        <v>2.4846784999999999E-3</v>
      </c>
    </row>
    <row r="116" spans="1:4">
      <c r="A116" t="s">
        <v>697</v>
      </c>
      <c r="B116" t="s">
        <v>698</v>
      </c>
      <c r="C116">
        <v>6.2207136006999999</v>
      </c>
      <c r="D116">
        <v>0.16075326149999999</v>
      </c>
    </row>
    <row r="117" spans="1:4">
      <c r="A117" t="s">
        <v>478</v>
      </c>
      <c r="B117" t="s">
        <v>699</v>
      </c>
      <c r="C117">
        <v>1.3174190509000001</v>
      </c>
      <c r="D117">
        <v>0.75905992050000004</v>
      </c>
    </row>
    <row r="118" spans="1:4">
      <c r="A118" t="s">
        <v>700</v>
      </c>
      <c r="B118" t="s">
        <v>701</v>
      </c>
      <c r="C118">
        <v>7910.3832962959996</v>
      </c>
      <c r="D118">
        <v>1.264161E-4</v>
      </c>
    </row>
    <row r="119" spans="1:4">
      <c r="A119" t="s">
        <v>702</v>
      </c>
      <c r="B119" t="s">
        <v>703</v>
      </c>
      <c r="C119">
        <v>1.7541784284999999</v>
      </c>
      <c r="D119">
        <v>0.57006743660000003</v>
      </c>
    </row>
    <row r="120" spans="1:4">
      <c r="A120" t="s">
        <v>533</v>
      </c>
      <c r="B120" t="s">
        <v>704</v>
      </c>
      <c r="C120">
        <v>1.5622745524999999</v>
      </c>
      <c r="D120">
        <v>0.64009235659999997</v>
      </c>
    </row>
    <row r="121" spans="1:4">
      <c r="A121" t="s">
        <v>705</v>
      </c>
      <c r="B121" t="s">
        <v>706</v>
      </c>
      <c r="C121">
        <v>603.46461629320004</v>
      </c>
      <c r="D121">
        <v>1.6570980000000001E-3</v>
      </c>
    </row>
    <row r="122" spans="1:4">
      <c r="A122" t="s">
        <v>707</v>
      </c>
      <c r="B122" t="s">
        <v>708</v>
      </c>
      <c r="C122">
        <v>39.696027344699999</v>
      </c>
      <c r="D122">
        <v>2.5191437699999999E-2</v>
      </c>
    </row>
    <row r="123" spans="1:4">
      <c r="A123" t="s">
        <v>709</v>
      </c>
      <c r="B123" t="s">
        <v>710</v>
      </c>
      <c r="C123">
        <v>1511.2382498842001</v>
      </c>
      <c r="D123">
        <v>6.6170900000000002E-4</v>
      </c>
    </row>
    <row r="124" spans="1:4">
      <c r="A124" t="s">
        <v>556</v>
      </c>
      <c r="B124" t="s">
        <v>711</v>
      </c>
      <c r="C124">
        <v>447.05966271559998</v>
      </c>
      <c r="D124">
        <v>2.2368379000000001E-3</v>
      </c>
    </row>
    <row r="125" spans="1:4">
      <c r="A125" t="s">
        <v>712</v>
      </c>
      <c r="B125" t="s">
        <v>713</v>
      </c>
      <c r="C125">
        <v>56.523989331999999</v>
      </c>
      <c r="D125">
        <v>1.7691603399999999E-2</v>
      </c>
    </row>
    <row r="126" spans="1:4">
      <c r="A126" t="s">
        <v>714</v>
      </c>
      <c r="B126" t="s">
        <v>715</v>
      </c>
      <c r="C126">
        <v>7869.4949196852003</v>
      </c>
      <c r="D126">
        <v>1.2707300000000001E-4</v>
      </c>
    </row>
    <row r="127" spans="1:4">
      <c r="A127" t="s">
        <v>716</v>
      </c>
      <c r="B127" t="s">
        <v>717</v>
      </c>
      <c r="C127">
        <v>11.9358531314</v>
      </c>
      <c r="D127">
        <v>8.3781191800000002E-2</v>
      </c>
    </row>
    <row r="128" spans="1:4">
      <c r="A128" t="s">
        <v>548</v>
      </c>
      <c r="B128" t="s">
        <v>718</v>
      </c>
      <c r="C128">
        <v>2206.0653255682</v>
      </c>
      <c r="D128">
        <v>4.5329570000000001E-4</v>
      </c>
    </row>
    <row r="129" spans="1:4">
      <c r="A129" t="s">
        <v>719</v>
      </c>
      <c r="B129" t="s">
        <v>720</v>
      </c>
      <c r="C129">
        <v>1533.6117408417999</v>
      </c>
      <c r="D129">
        <v>6.5205549999999997E-4</v>
      </c>
    </row>
    <row r="130" spans="1:4">
      <c r="A130" t="s">
        <v>721</v>
      </c>
      <c r="B130" t="s">
        <v>722</v>
      </c>
      <c r="C130">
        <v>15.727638470800001</v>
      </c>
      <c r="D130">
        <v>6.3582336399999995E-2</v>
      </c>
    </row>
    <row r="131" spans="1:4">
      <c r="A131" t="s">
        <v>723</v>
      </c>
      <c r="B131" t="s">
        <v>724</v>
      </c>
      <c r="C131">
        <v>8.8324368681000003</v>
      </c>
      <c r="D131">
        <v>0.1132190374</v>
      </c>
    </row>
    <row r="132" spans="1:4">
      <c r="A132" t="s">
        <v>725</v>
      </c>
      <c r="B132" t="s">
        <v>726</v>
      </c>
      <c r="C132">
        <v>697.87961024629999</v>
      </c>
      <c r="D132">
        <v>1.4329118999999999E-3</v>
      </c>
    </row>
    <row r="133" spans="1:4">
      <c r="A133" t="s">
        <v>550</v>
      </c>
      <c r="B133" t="s">
        <v>727</v>
      </c>
      <c r="C133">
        <v>1092.8810911306</v>
      </c>
      <c r="D133">
        <v>9.1501259999999997E-4</v>
      </c>
    </row>
    <row r="134" spans="1:4">
      <c r="A134" t="s">
        <v>728</v>
      </c>
      <c r="B134" t="s">
        <v>729</v>
      </c>
      <c r="C134">
        <v>11.622434804199999</v>
      </c>
      <c r="D134">
        <v>8.6040491199999999E-2</v>
      </c>
    </row>
    <row r="135" spans="1:4">
      <c r="A135" t="s">
        <v>730</v>
      </c>
      <c r="B135" t="s">
        <v>731</v>
      </c>
      <c r="C135">
        <v>134.06534872540001</v>
      </c>
      <c r="D135">
        <v>7.4590489999999997E-3</v>
      </c>
    </row>
    <row r="136" spans="1:4">
      <c r="A136" t="s">
        <v>544</v>
      </c>
      <c r="B136" t="s">
        <v>732</v>
      </c>
      <c r="C136">
        <v>65.716496331000002</v>
      </c>
      <c r="D136">
        <v>1.5216879399999999E-2</v>
      </c>
    </row>
    <row r="137" spans="1:4">
      <c r="A137" t="s">
        <v>733</v>
      </c>
      <c r="B137" t="s">
        <v>734</v>
      </c>
      <c r="C137">
        <v>0.55453509940000001</v>
      </c>
      <c r="D137">
        <v>1.8033123622</v>
      </c>
    </row>
    <row r="138" spans="1:4">
      <c r="A138" t="s">
        <v>735</v>
      </c>
      <c r="B138" t="s">
        <v>736</v>
      </c>
      <c r="C138">
        <v>6.3552550000000002E-4</v>
      </c>
      <c r="D138">
        <v>1573.5009759087</v>
      </c>
    </row>
    <row r="139" spans="1:4">
      <c r="A139" t="s">
        <v>384</v>
      </c>
      <c r="B139" t="s">
        <v>737</v>
      </c>
      <c r="C139">
        <v>13.569303147899999</v>
      </c>
      <c r="D139">
        <v>7.3695752000000003E-2</v>
      </c>
    </row>
    <row r="140" spans="1:4">
      <c r="A140" t="s">
        <v>539</v>
      </c>
      <c r="B140" t="s">
        <v>738</v>
      </c>
      <c r="C140">
        <v>20.548470632899999</v>
      </c>
      <c r="D140">
        <v>4.8665422299999997E-2</v>
      </c>
    </row>
    <row r="141" spans="1:4">
      <c r="A141" t="s">
        <v>460</v>
      </c>
      <c r="B141" t="s">
        <v>739</v>
      </c>
      <c r="C141">
        <v>3163.226031232</v>
      </c>
      <c r="D141">
        <v>3.1613300000000002E-4</v>
      </c>
    </row>
    <row r="142" spans="1:4">
      <c r="A142" t="s">
        <v>547</v>
      </c>
      <c r="B142" t="s">
        <v>740</v>
      </c>
      <c r="C142">
        <v>39.2988437116</v>
      </c>
      <c r="D142">
        <v>2.54460413E-2</v>
      </c>
    </row>
    <row r="143" spans="1:4">
      <c r="A143" t="s">
        <v>741</v>
      </c>
      <c r="B143" t="s">
        <v>742</v>
      </c>
      <c r="C143">
        <v>84.186499311999995</v>
      </c>
      <c r="D143">
        <v>1.1878389099999999E-2</v>
      </c>
    </row>
    <row r="144" spans="1:4">
      <c r="A144" t="s">
        <v>743</v>
      </c>
      <c r="B144" t="s">
        <v>744</v>
      </c>
      <c r="C144">
        <v>27.921176360499999</v>
      </c>
      <c r="D144">
        <v>3.5815109900000003E-2</v>
      </c>
    </row>
    <row r="145" spans="1:4">
      <c r="A145" t="s">
        <v>745</v>
      </c>
      <c r="B145" t="s">
        <v>746</v>
      </c>
      <c r="C145">
        <v>1.3879557863</v>
      </c>
      <c r="D145">
        <v>0.72048404560000001</v>
      </c>
    </row>
    <row r="146" spans="1:4">
      <c r="A146" t="s">
        <v>747</v>
      </c>
      <c r="B146" t="s">
        <v>748</v>
      </c>
      <c r="C146">
        <v>11.622434804199999</v>
      </c>
      <c r="D146">
        <v>8.6040491199999999E-2</v>
      </c>
    </row>
    <row r="147" spans="1:4">
      <c r="A147" t="s">
        <v>749</v>
      </c>
      <c r="B147" t="s">
        <v>750</v>
      </c>
      <c r="C147">
        <v>70.756754314700004</v>
      </c>
      <c r="D147">
        <v>1.4132926400000001E-2</v>
      </c>
    </row>
    <row r="148" spans="1:4">
      <c r="A148" t="s">
        <v>557</v>
      </c>
      <c r="B148" t="s">
        <v>751</v>
      </c>
      <c r="C148">
        <v>10.9735666899</v>
      </c>
      <c r="D148">
        <v>9.1128074200000006E-2</v>
      </c>
    </row>
    <row r="149" spans="1:4">
      <c r="A149" t="s">
        <v>752</v>
      </c>
      <c r="B149" t="s">
        <v>753</v>
      </c>
      <c r="C149">
        <v>3.3035220000000003E-4</v>
      </c>
      <c r="D149">
        <v>3027.0725074777001</v>
      </c>
    </row>
    <row r="150" spans="1:4">
      <c r="A150" t="s">
        <v>437</v>
      </c>
      <c r="B150" t="s">
        <v>754</v>
      </c>
      <c r="C150">
        <v>6.7848723788000003</v>
      </c>
      <c r="D150">
        <v>0.14738670740000001</v>
      </c>
    </row>
    <row r="151" spans="1:4">
      <c r="A151" t="s">
        <v>476</v>
      </c>
      <c r="B151" t="s">
        <v>755</v>
      </c>
      <c r="C151">
        <v>0.77541398610000001</v>
      </c>
      <c r="D151">
        <v>1.2896336897</v>
      </c>
    </row>
    <row r="152" spans="1:4">
      <c r="A152" t="s">
        <v>756</v>
      </c>
      <c r="B152" t="s">
        <v>757</v>
      </c>
      <c r="C152">
        <v>0.53897092270000002</v>
      </c>
      <c r="D152">
        <v>1.8553876617</v>
      </c>
    </row>
    <row r="153" spans="1:4">
      <c r="A153" t="s">
        <v>554</v>
      </c>
      <c r="B153" t="s">
        <v>758</v>
      </c>
      <c r="C153">
        <v>769.78181347899999</v>
      </c>
      <c r="D153">
        <v>1.2990694000000001E-3</v>
      </c>
    </row>
    <row r="154" spans="1:4">
      <c r="A154" t="s">
        <v>759</v>
      </c>
      <c r="B154" t="s">
        <v>760</v>
      </c>
      <c r="C154">
        <v>1.3879910352</v>
      </c>
      <c r="D154">
        <v>0.72046574839999999</v>
      </c>
    </row>
    <row r="155" spans="1:4">
      <c r="A155" t="s">
        <v>761</v>
      </c>
      <c r="B155" t="s">
        <v>762</v>
      </c>
      <c r="C155">
        <v>137.84550754360001</v>
      </c>
      <c r="D155">
        <v>7.2544983000000004E-3</v>
      </c>
    </row>
    <row r="156" spans="1:4">
      <c r="A156" t="s">
        <v>763</v>
      </c>
      <c r="B156" t="s">
        <v>764</v>
      </c>
      <c r="C156">
        <v>56.847773984500002</v>
      </c>
      <c r="D156">
        <v>1.7590838300000002E-2</v>
      </c>
    </row>
    <row r="157" spans="1:4">
      <c r="A157" t="s">
        <v>765</v>
      </c>
      <c r="B157" t="s">
        <v>766</v>
      </c>
      <c r="C157">
        <v>315.6800690805</v>
      </c>
      <c r="D157">
        <v>3.1677641E-3</v>
      </c>
    </row>
    <row r="158" spans="1:4">
      <c r="A158" t="s">
        <v>767</v>
      </c>
      <c r="B158" t="s">
        <v>768</v>
      </c>
      <c r="C158">
        <v>1.9444042826000001</v>
      </c>
      <c r="D158">
        <v>0.51429633689999998</v>
      </c>
    </row>
    <row r="159" spans="1:4">
      <c r="A159" t="s">
        <v>769</v>
      </c>
      <c r="B159" t="s">
        <v>770</v>
      </c>
      <c r="C159">
        <v>0.12923566380000001</v>
      </c>
      <c r="D159">
        <v>7.7378021692000001</v>
      </c>
    </row>
    <row r="160" spans="1:4">
      <c r="A160" t="s">
        <v>771</v>
      </c>
      <c r="B160" t="s">
        <v>772</v>
      </c>
      <c r="C160">
        <v>11.6312097922</v>
      </c>
      <c r="D160">
        <v>8.5975579299999993E-2</v>
      </c>
    </row>
    <row r="161" spans="1:4">
      <c r="A161" t="s">
        <v>773</v>
      </c>
      <c r="B161" t="s">
        <v>774</v>
      </c>
      <c r="C161">
        <v>0.55453509940000001</v>
      </c>
      <c r="D161">
        <v>1.8033123622</v>
      </c>
    </row>
    <row r="162" spans="1:4">
      <c r="A162" t="s">
        <v>775</v>
      </c>
      <c r="B162" t="s">
        <v>776</v>
      </c>
      <c r="C162">
        <v>0.55453509940000001</v>
      </c>
      <c r="D162">
        <v>1.8033123622</v>
      </c>
    </row>
    <row r="163" spans="1:4">
      <c r="A163" t="s">
        <v>777</v>
      </c>
      <c r="B163" t="s">
        <v>778</v>
      </c>
      <c r="C163">
        <v>0.55453509940000001</v>
      </c>
      <c r="D163">
        <v>1.8033123622</v>
      </c>
    </row>
    <row r="164" spans="1:4">
      <c r="A164" t="s">
        <v>779</v>
      </c>
      <c r="B164" t="s">
        <v>780</v>
      </c>
      <c r="C164">
        <v>2.7166722231999998</v>
      </c>
      <c r="D164">
        <v>0.36809740660000001</v>
      </c>
    </row>
    <row r="165" spans="1:4">
      <c r="A165" t="s">
        <v>781</v>
      </c>
      <c r="B165" t="s">
        <v>782</v>
      </c>
      <c r="C165">
        <v>1</v>
      </c>
      <c r="D165">
        <v>1</v>
      </c>
    </row>
    <row r="166" spans="1:4">
      <c r="A166" t="s">
        <v>783</v>
      </c>
      <c r="B166" t="s">
        <v>784</v>
      </c>
      <c r="C166">
        <v>0.55453509940000001</v>
      </c>
      <c r="D166">
        <v>1.8033123622</v>
      </c>
    </row>
    <row r="167" spans="1:4">
      <c r="A167" t="s">
        <v>785</v>
      </c>
      <c r="B167" t="s">
        <v>786</v>
      </c>
      <c r="C167">
        <v>0.55453509940000001</v>
      </c>
      <c r="D167">
        <v>1.8033123622</v>
      </c>
    </row>
    <row r="168" spans="1:4">
      <c r="A168" t="s">
        <v>562</v>
      </c>
      <c r="B168" t="s">
        <v>787</v>
      </c>
      <c r="C168">
        <v>16.908348934599999</v>
      </c>
      <c r="D168">
        <v>5.9142380100000003E-2</v>
      </c>
    </row>
  </sheetData>
  <sheetProtection algorithmName="SHA-512" hashValue="o+PxKfhXRdKQ2IfPba7826aw8Ha3hpvjtEMI4p+p+KpXR6kreETnpR1DxWitwaaydc9uEJodolnKm65M6GvVJA==" saltValue="bnw6wv/KzgbQWj5L77LWkQ==" spinCount="100000" sheet="1" objects="1" scenarios="1"/>
  <phoneticPr fontId="95"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1771798-3c28-4c3f-be9e-04eeb8e891c9" xsi:nil="true"/>
    <lcf76f155ced4ddcb4097134ff3c332f xmlns="55df2b56-7ed1-4c75-baec-133e3edd1d46">
      <Terms xmlns="http://schemas.microsoft.com/office/infopath/2007/PartnerControls"/>
    </lcf76f155ced4ddcb4097134ff3c332f>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AF5AE58C2F6F3448AF82B19533E6EED4" ma:contentTypeVersion="18" ma:contentTypeDescription="Create a new document." ma:contentTypeScope="" ma:versionID="8b505c08280b53ae0d0e99e6d8e7d9c8">
  <xsd:schema xmlns:xsd="http://www.w3.org/2001/XMLSchema" xmlns:xs="http://www.w3.org/2001/XMLSchema" xmlns:p="http://schemas.microsoft.com/office/2006/metadata/properties" xmlns:ns2="55df2b56-7ed1-4c75-baec-133e3edd1d46" xmlns:ns3="31771798-3c28-4c3f-be9e-04eeb8e891c9" targetNamespace="http://schemas.microsoft.com/office/2006/metadata/properties" ma:root="true" ma:fieldsID="6b98e913e908455d2315363d8087c7d1" ns2:_="" ns3:_="">
    <xsd:import namespace="55df2b56-7ed1-4c75-baec-133e3edd1d46"/>
    <xsd:import namespace="31771798-3c28-4c3f-be9e-04eeb8e891c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df2b56-7ed1-4c75-baec-133e3edd1d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ad76a02-2e4f-43c7-8f17-d10e9a46a46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1771798-3c28-4c3f-be9e-04eeb8e891c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1732e18-ef9a-46e6-96d3-b4965634f242}" ma:internalName="TaxCatchAll" ma:showField="CatchAllData" ma:web="31771798-3c28-4c3f-be9e-04eeb8e891c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4858D5-B806-4A30-9062-56F709B14535}">
  <ds:schemaRefs>
    <ds:schemaRef ds:uri="http://schemas.microsoft.com/sharepoint/v3/contenttype/forms"/>
  </ds:schemaRefs>
</ds:datastoreItem>
</file>

<file path=customXml/itemProps2.xml><?xml version="1.0" encoding="utf-8"?>
<ds:datastoreItem xmlns:ds="http://schemas.openxmlformats.org/officeDocument/2006/customXml" ds:itemID="{BBC9E78C-2EF2-4383-B526-0FA5758B74D7}">
  <ds:schemaRefs>
    <ds:schemaRef ds:uri="http://purl.org/dc/elements/1.1/"/>
    <ds:schemaRef ds:uri="http://purl.org/dc/dcmitype/"/>
    <ds:schemaRef ds:uri="http://purl.org/dc/terms/"/>
    <ds:schemaRef ds:uri="720e83d6-705e-4a2c-8fff-058999d290a6"/>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c19a4e6f-b5cc-4417-913a-2e6b221d396d"/>
    <ds:schemaRef ds:uri="http://schemas.microsoft.com/office/2006/metadata/properties"/>
    <ds:schemaRef ds:uri="31771798-3c28-4c3f-be9e-04eeb8e891c9"/>
    <ds:schemaRef ds:uri="55df2b56-7ed1-4c75-baec-133e3edd1d46"/>
    <ds:schemaRef ds:uri="2531286a-010e-406c-9fa3-015d4bec8752"/>
    <ds:schemaRef ds:uri="14031a25-bd3f-4129-8b7b-595804340490"/>
  </ds:schemaRefs>
</ds:datastoreItem>
</file>

<file path=customXml/itemProps3.xml><?xml version="1.0" encoding="utf-8"?>
<ds:datastoreItem xmlns:ds="http://schemas.openxmlformats.org/officeDocument/2006/customXml" ds:itemID="{0BEAD074-9914-40A9-98E1-EF05A71E7BB3}">
  <ds:schemaRefs>
    <ds:schemaRef ds:uri="http://schemas.microsoft.com/DataMashup"/>
  </ds:schemaRefs>
</ds:datastoreItem>
</file>

<file path=customXml/itemProps4.xml><?xml version="1.0" encoding="utf-8"?>
<ds:datastoreItem xmlns:ds="http://schemas.openxmlformats.org/officeDocument/2006/customXml" ds:itemID="{B76089F2-B7D2-4225-927B-8CDADF06AF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149</vt:i4>
      </vt:variant>
    </vt:vector>
  </HeadingPairs>
  <TitlesOfParts>
    <vt:vector size="175" baseType="lpstr">
      <vt:lpstr>logo</vt:lpstr>
      <vt:lpstr>Sheet1</vt:lpstr>
      <vt:lpstr>Serviceability Calculator</vt:lpstr>
      <vt:lpstr>SME Servicing Calculator</vt:lpstr>
      <vt:lpstr>SMSF Servicing Calculator</vt:lpstr>
      <vt:lpstr>Calculations breakdown</vt:lpstr>
      <vt:lpstr>Self Employed Calculator</vt:lpstr>
      <vt:lpstr>Self Employed Calculator (SME)</vt:lpstr>
      <vt:lpstr>Rental &amp; Gearing</vt:lpstr>
      <vt:lpstr>Rental &amp; Gearing (SME)</vt:lpstr>
      <vt:lpstr>SME Calculator 2</vt:lpstr>
      <vt:lpstr>Year To Date Calc</vt:lpstr>
      <vt:lpstr>Lease Doc Serviceability</vt:lpstr>
      <vt:lpstr>Sheet2</vt:lpstr>
      <vt:lpstr>Marginalisation Calculator</vt:lpstr>
      <vt:lpstr>SMSF Refinance Prime</vt:lpstr>
      <vt:lpstr>BackEnd</vt:lpstr>
      <vt:lpstr>Definitions</vt:lpstr>
      <vt:lpstr>Change Log</vt:lpstr>
      <vt:lpstr>Scales Tax</vt:lpstr>
      <vt:lpstr>Tax Scales</vt:lpstr>
      <vt:lpstr>HEM</vt:lpstr>
      <vt:lpstr>RepayCalculator</vt:lpstr>
      <vt:lpstr>Cost of Living Index</vt:lpstr>
      <vt:lpstr>Log Change</vt:lpstr>
      <vt:lpstr>Live Currency Rates</vt:lpstr>
      <vt:lpstr>_CDA1</vt:lpstr>
      <vt:lpstr>_CDA1SME</vt:lpstr>
      <vt:lpstr>_CDA2</vt:lpstr>
      <vt:lpstr>_CDA2SME</vt:lpstr>
      <vt:lpstr>_CI1</vt:lpstr>
      <vt:lpstr>_CI1SME</vt:lpstr>
      <vt:lpstr>_CI2</vt:lpstr>
      <vt:lpstr>_CI2SME</vt:lpstr>
      <vt:lpstr>'Self Employed Calculator'!_Com1</vt:lpstr>
      <vt:lpstr>'Self Employed Calculator (SME)'!_Com1SME</vt:lpstr>
      <vt:lpstr>'Self Employed Calculator'!_Com2</vt:lpstr>
      <vt:lpstr>'Self Employed Calculator (SME)'!_Com2SME</vt:lpstr>
      <vt:lpstr>_D1</vt:lpstr>
      <vt:lpstr>_D1SME</vt:lpstr>
      <vt:lpstr>_D2SME</vt:lpstr>
      <vt:lpstr>_D3</vt:lpstr>
      <vt:lpstr>_D3SME</vt:lpstr>
      <vt:lpstr>_D4</vt:lpstr>
      <vt:lpstr>_D4SME</vt:lpstr>
      <vt:lpstr>_GNTI_DST</vt:lpstr>
      <vt:lpstr>_GNTI_DSTSME</vt:lpstr>
      <vt:lpstr>_GTI_ST</vt:lpstr>
      <vt:lpstr>_GTI_STSME</vt:lpstr>
      <vt:lpstr>_SE1</vt:lpstr>
      <vt:lpstr>_SE1dep</vt:lpstr>
      <vt:lpstr>_SE1depadj</vt:lpstr>
      <vt:lpstr>'Self Employed Calculator (SME)'!_SE1depadjSME</vt:lpstr>
      <vt:lpstr>'Self Employed Calculator (SME)'!_SE1depSME</vt:lpstr>
      <vt:lpstr>_SE1depuse</vt:lpstr>
      <vt:lpstr>'Self Employed Calculator (SME)'!_SE1depuseSME</vt:lpstr>
      <vt:lpstr>_SE1SME</vt:lpstr>
      <vt:lpstr>_SE2</vt:lpstr>
      <vt:lpstr>_SE2dep</vt:lpstr>
      <vt:lpstr>_SE2depadj</vt:lpstr>
      <vt:lpstr>'Self Employed Calculator (SME)'!_SE2depadjSME</vt:lpstr>
      <vt:lpstr>'Self Employed Calculator (SME)'!_SE2depSME</vt:lpstr>
      <vt:lpstr>_SE2depuse</vt:lpstr>
      <vt:lpstr>'Self Employed Calculator (SME)'!_SE2depuseSME</vt:lpstr>
      <vt:lpstr>_SE2SME</vt:lpstr>
      <vt:lpstr>_SE3</vt:lpstr>
      <vt:lpstr>_SE3SME</vt:lpstr>
      <vt:lpstr>_SE4</vt:lpstr>
      <vt:lpstr>_SE4SME</vt:lpstr>
      <vt:lpstr>_ST1</vt:lpstr>
      <vt:lpstr>_ST1SME</vt:lpstr>
      <vt:lpstr>_ST2</vt:lpstr>
      <vt:lpstr>_ST2SME</vt:lpstr>
      <vt:lpstr>_ST3</vt:lpstr>
      <vt:lpstr>_ST3SME</vt:lpstr>
      <vt:lpstr>_ST4</vt:lpstr>
      <vt:lpstr>_ST4SME</vt:lpstr>
      <vt:lpstr>'Self Employed Calculator'!AddbacksCur</vt:lpstr>
      <vt:lpstr>'Self Employed Calculator'!AddbacksCur2</vt:lpstr>
      <vt:lpstr>'Self Employed Calculator (SME)'!AddbacksCur2SME</vt:lpstr>
      <vt:lpstr>'Self Employed Calculator (SME)'!AddbacksCurSME</vt:lpstr>
      <vt:lpstr>'Self Employed Calculator'!AddbacksPrev</vt:lpstr>
      <vt:lpstr>'Self Employed Calculator'!AddbacksPrev2</vt:lpstr>
      <vt:lpstr>'Self Employed Calculator (SME)'!AddbacksPrev2SME</vt:lpstr>
      <vt:lpstr>'Self Employed Calculator (SME)'!AddbacksPrevSME</vt:lpstr>
      <vt:lpstr>'Serviceability Calculator'!BuiltIn_Print_Area</vt:lpstr>
      <vt:lpstr>'Self Employed Calculator'!Bus1_App1Distr</vt:lpstr>
      <vt:lpstr>'Self Employed Calculator (SME)'!Bus1_App1DistrSME</vt:lpstr>
      <vt:lpstr>'Self Employed Calculator'!Bus1_App2Distr</vt:lpstr>
      <vt:lpstr>'Self Employed Calculator (SME)'!Bus1_App2DistrSME</vt:lpstr>
      <vt:lpstr>'Self Employed Calculator'!Bus1_App3Distr</vt:lpstr>
      <vt:lpstr>'Self Employed Calculator (SME)'!Bus1_App3DistrSME</vt:lpstr>
      <vt:lpstr>'Self Employed Calculator'!Bus1_App4Distr</vt:lpstr>
      <vt:lpstr>'Self Employed Calculator (SME)'!Bus1_App4DistrSME</vt:lpstr>
      <vt:lpstr>Bus1App1Inc</vt:lpstr>
      <vt:lpstr>'Self Employed Calculator (SME)'!Bus1App1IncSME</vt:lpstr>
      <vt:lpstr>Bus1App2Inc</vt:lpstr>
      <vt:lpstr>'Self Employed Calculator (SME)'!Bus1App2IncSME</vt:lpstr>
      <vt:lpstr>Bus1App3Inc</vt:lpstr>
      <vt:lpstr>'Self Employed Calculator (SME)'!Bus1App3IncSME</vt:lpstr>
      <vt:lpstr>Bus1App4Inc</vt:lpstr>
      <vt:lpstr>'Self Employed Calculator (SME)'!Bus1App4IncSME</vt:lpstr>
      <vt:lpstr>'Self Employed Calculator'!Bus2_App1Distr</vt:lpstr>
      <vt:lpstr>'Self Employed Calculator (SME)'!Bus2_App1DistrSME</vt:lpstr>
      <vt:lpstr>'Self Employed Calculator'!Bus2_App2Distr</vt:lpstr>
      <vt:lpstr>'Self Employed Calculator (SME)'!Bus2_App2DistrSME</vt:lpstr>
      <vt:lpstr>'Self Employed Calculator'!Bus2_App3Distr</vt:lpstr>
      <vt:lpstr>'Self Employed Calculator (SME)'!Bus2_App3DistrSME</vt:lpstr>
      <vt:lpstr>'Self Employed Calculator'!Bus2_App4Distr</vt:lpstr>
      <vt:lpstr>'Self Employed Calculator (SME)'!Bus2_App4DistrSME</vt:lpstr>
      <vt:lpstr>Bus2App1Inc</vt:lpstr>
      <vt:lpstr>'Self Employed Calculator (SME)'!Bus2App1IncSME</vt:lpstr>
      <vt:lpstr>Bus2App2Inc</vt:lpstr>
      <vt:lpstr>'Self Employed Calculator (SME)'!Bus2App2IncSME</vt:lpstr>
      <vt:lpstr>Bus2App3Inc</vt:lpstr>
      <vt:lpstr>'Self Employed Calculator (SME)'!Bus2App3IncSME</vt:lpstr>
      <vt:lpstr>Bus2App4Inc</vt:lpstr>
      <vt:lpstr>'Self Employed Calculator (SME)'!Bus2App4IncSME</vt:lpstr>
      <vt:lpstr>RepayCalculator!FirstHomeBuyer</vt:lpstr>
      <vt:lpstr>RepayCalculator!LoanType</vt:lpstr>
      <vt:lpstr>'Serviceability Calculator'!ndiExisCom</vt:lpstr>
      <vt:lpstr>'Serviceability Calculator'!ndiExisTyp</vt:lpstr>
      <vt:lpstr>'Serviceability Calculator'!ndiHouStat</vt:lpstr>
      <vt:lpstr>'Serviceability Calculator'!ndiIncome</vt:lpstr>
      <vt:lpstr>'Serviceability Calculator'!ndiLivExp</vt:lpstr>
      <vt:lpstr>'Serviceability Calculator'!ndiNewLoan</vt:lpstr>
      <vt:lpstr>'Self Employed Calculator'!NonRecIncCur</vt:lpstr>
      <vt:lpstr>'Self Employed Calculator'!NonRecIncCur2</vt:lpstr>
      <vt:lpstr>'Self Employed Calculator (SME)'!NonRecIncCur2SME</vt:lpstr>
      <vt:lpstr>'Self Employed Calculator (SME)'!NonRecIncCurSME</vt:lpstr>
      <vt:lpstr>'Self Employed Calculator'!NonRecIncPrev</vt:lpstr>
      <vt:lpstr>'Self Employed Calculator'!NonRecIncPrev2</vt:lpstr>
      <vt:lpstr>'Self Employed Calculator (SME)'!NonRecIncPrev2SME</vt:lpstr>
      <vt:lpstr>'Self Employed Calculator (SME)'!NonRecIncPrevSME</vt:lpstr>
      <vt:lpstr>'Rental &amp; Gearing'!Print_Area</vt:lpstr>
      <vt:lpstr>'Rental &amp; Gearing (SME)'!Print_Area</vt:lpstr>
      <vt:lpstr>'Self Employed Calculator'!Print_Area</vt:lpstr>
      <vt:lpstr>'Self Employed Calculator (SME)'!Print_Area</vt:lpstr>
      <vt:lpstr>'SMSF Refinance Prime'!Print_Area</vt:lpstr>
      <vt:lpstr>'Year To Date Calc'!Print_Area</vt:lpstr>
      <vt:lpstr>'SMSF Refinance Prime'!Print_Titles</vt:lpstr>
      <vt:lpstr>'Self Employed Calculator'!ProfitCur</vt:lpstr>
      <vt:lpstr>'Self Employed Calculator'!ProfitCur2</vt:lpstr>
      <vt:lpstr>'Self Employed Calculator (SME)'!ProfitCur2SME</vt:lpstr>
      <vt:lpstr>'Self Employed Calculator (SME)'!ProfitCurSME</vt:lpstr>
      <vt:lpstr>'Self Employed Calculator'!ProfitPrev</vt:lpstr>
      <vt:lpstr>'Self Employed Calculator'!ProfitPrev2</vt:lpstr>
      <vt:lpstr>'Self Employed Calculator (SME)'!ProfitPrev2SME</vt:lpstr>
      <vt:lpstr>'Self Employed Calculator (SME)'!ProfitPrevSME</vt:lpstr>
      <vt:lpstr>ProspectorNumYTD</vt:lpstr>
      <vt:lpstr>RepayCalculator!RepayType</vt:lpstr>
      <vt:lpstr>'Self Employed Calculator'!SE1netAv</vt:lpstr>
      <vt:lpstr>'Self Employed Calculator'!SE1netAvAdj</vt:lpstr>
      <vt:lpstr>'Self Employed Calculator (SME)'!SE1netAvAdjSME</vt:lpstr>
      <vt:lpstr>'Self Employed Calculator (SME)'!SE1netAvSME</vt:lpstr>
      <vt:lpstr>'Self Employed Calculator'!SE1Test</vt:lpstr>
      <vt:lpstr>'Self Employed Calculator (SME)'!SE1TestSME</vt:lpstr>
      <vt:lpstr>'Self Employed Calculator'!SE2netAv</vt:lpstr>
      <vt:lpstr>'Self Employed Calculator'!SE2netAvAdj</vt:lpstr>
      <vt:lpstr>'Self Employed Calculator (SME)'!SE2netAvAdjSME</vt:lpstr>
      <vt:lpstr>'Self Employed Calculator (SME)'!SE2netAvSME</vt:lpstr>
      <vt:lpstr>'Self Employed Calculator'!SE2Test</vt:lpstr>
      <vt:lpstr>'Self Employed Calculator (SME)'!SE2TestSME</vt:lpstr>
      <vt:lpstr>SecType</vt:lpstr>
      <vt:lpstr>RepayCalculator!Stress</vt:lpstr>
      <vt:lpstr>'Self Employed Calculator'!TaxYearCur</vt:lpstr>
      <vt:lpstr>'Self Employed Calculator'!TaxYearCur2</vt:lpstr>
      <vt:lpstr>'Self Employed Calculator (SME)'!TaxYearCur2SME</vt:lpstr>
      <vt:lpstr>'Self Employed Calculator (SME)'!TaxYearCurSME</vt:lpstr>
      <vt:lpstr>TaxYearCurSME</vt:lpstr>
      <vt:lpstr>'Self Employed Calculator'!TaxYearPrev</vt:lpstr>
      <vt:lpstr>'Self Employed Calculator'!TaxYearPrev2</vt:lpstr>
      <vt:lpstr>'Self Employed Calculator (SME)'!TaxYearPrev2SME</vt:lpstr>
      <vt:lpstr>'Self Employed Calculator (SME)'!TaxYearPrevSME</vt:lpstr>
      <vt:lpstr>TestText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Sinclair</dc:creator>
  <cp:lastModifiedBy>Jong Chin</cp:lastModifiedBy>
  <cp:lastPrinted>2023-06-29T02:29:55Z</cp:lastPrinted>
  <dcterms:created xsi:type="dcterms:W3CDTF">2020-11-01T23:18:47Z</dcterms:created>
  <dcterms:modified xsi:type="dcterms:W3CDTF">2024-10-11T08:57:29Z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0x010100FF5734708F60A64BAAA47333D276AA06</vt:lpwstr>
  </property>
  <property fmtid="{D5CDD505-2E9C-101B-9397-08002B2CF9AE}" pid="3" name="MediaServiceImageTags">
    <vt:lpwstr/>
  </property>
</Properties>
</file>